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rockwool-my.sharepoint.com/personal/philipp_koch_wall-systems_com/Documents/Heck/Kalkulationshilfen/"/>
    </mc:Choice>
  </mc:AlternateContent>
  <xr:revisionPtr revIDLastSave="89" documentId="8_{F86CE82B-45AC-4E57-8605-9C73A91973AE}" xr6:coauthVersionLast="47" xr6:coauthVersionMax="47" xr10:uidLastSave="{27DBC163-51C9-40C1-934E-65A246230A0B}"/>
  <bookViews>
    <workbookView xWindow="-120" yWindow="-120" windowWidth="29040" windowHeight="15720" xr2:uid="{00000000-000D-0000-FFFF-FFFF00000000}"/>
  </bookViews>
  <sheets>
    <sheet name="MW-Keramik" sheetId="2" r:id="rId1"/>
    <sheet name="Tabelle1" sheetId="5" state="hidden" r:id="rId2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2" i="5" l="1"/>
  <c r="C41" i="5"/>
  <c r="G26" i="2"/>
  <c r="G25" i="2"/>
  <c r="G19" i="2"/>
  <c r="G10" i="2"/>
  <c r="J28" i="2"/>
  <c r="J8" i="2"/>
  <c r="G9" i="2"/>
  <c r="D44" i="5" l="1"/>
  <c r="D43" i="5"/>
  <c r="D42" i="5"/>
  <c r="D41" i="5"/>
  <c r="E27" i="5"/>
  <c r="H14" i="2"/>
  <c r="D4" i="5" l="1"/>
  <c r="D2" i="5"/>
  <c r="D1" i="5"/>
  <c r="E1" i="5" l="1"/>
  <c r="F61" i="2" l="1"/>
  <c r="F60" i="2"/>
  <c r="F59" i="2"/>
  <c r="F58" i="2"/>
  <c r="F57" i="2"/>
  <c r="E28" i="5"/>
  <c r="E29" i="5"/>
  <c r="E30" i="5"/>
  <c r="F37" i="5"/>
  <c r="F35" i="5"/>
  <c r="F34" i="5"/>
  <c r="F36" i="5"/>
  <c r="F33" i="5"/>
  <c r="F54" i="2"/>
  <c r="F53" i="2"/>
  <c r="E23" i="5"/>
  <c r="E24" i="5"/>
  <c r="E22" i="5"/>
  <c r="F51" i="2"/>
  <c r="F50" i="2"/>
  <c r="F47" i="2"/>
  <c r="E2" i="5"/>
  <c r="E4" i="5"/>
  <c r="F49" i="2" s="1"/>
  <c r="A61" i="2"/>
  <c r="A60" i="2"/>
  <c r="A56" i="2"/>
  <c r="A55" i="2"/>
  <c r="A52" i="2"/>
  <c r="A49" i="2"/>
  <c r="A48" i="2"/>
  <c r="F48" i="2" s="1"/>
  <c r="A47" i="2"/>
  <c r="F52" i="2" l="1"/>
  <c r="F56" i="2"/>
  <c r="F55" i="2"/>
  <c r="G29" i="2" l="1"/>
  <c r="B29" i="2"/>
  <c r="E29" i="2" l="1"/>
  <c r="H29" i="2" s="1"/>
  <c r="I29" i="2" s="1"/>
  <c r="G22" i="2"/>
  <c r="G21" i="2"/>
  <c r="G15" i="2" l="1"/>
  <c r="C15" i="2"/>
  <c r="G8" i="2" l="1"/>
  <c r="C8" i="2" l="1"/>
  <c r="G28" i="2" l="1"/>
  <c r="I14" i="2" l="1"/>
  <c r="H9" i="2"/>
  <c r="I9" i="2" s="1"/>
  <c r="H8" i="2"/>
  <c r="I8" i="2" s="1"/>
  <c r="J16" i="2"/>
  <c r="E26" i="2"/>
  <c r="H26" i="2" s="1"/>
  <c r="I26" i="2" s="1"/>
  <c r="E25" i="2"/>
  <c r="H25" i="2" s="1"/>
  <c r="I25" i="2" s="1"/>
  <c r="F41" i="2" s="1"/>
  <c r="E24" i="2"/>
  <c r="I24" i="2" s="1"/>
  <c r="F40" i="2" s="1"/>
  <c r="E23" i="2"/>
  <c r="I23" i="2" s="1"/>
  <c r="L23" i="2" s="1"/>
  <c r="E28" i="2"/>
  <c r="E19" i="2"/>
  <c r="H19" i="2" s="1"/>
  <c r="I19" i="2" s="1"/>
  <c r="E20" i="2"/>
  <c r="H20" i="2" s="1"/>
  <c r="I20" i="2" s="1"/>
  <c r="E22" i="2"/>
  <c r="H22" i="2" s="1"/>
  <c r="I22" i="2" s="1"/>
  <c r="F36" i="2" s="1"/>
  <c r="E10" i="2"/>
  <c r="H10" i="2" s="1"/>
  <c r="I10" i="2" s="1"/>
  <c r="E11" i="2"/>
  <c r="H11" i="2" s="1"/>
  <c r="I11" i="2" s="1"/>
  <c r="E13" i="2"/>
  <c r="H13" i="2" s="1"/>
  <c r="I13" i="2" s="1"/>
  <c r="E15" i="2"/>
  <c r="H15" i="2" s="1"/>
  <c r="I15" i="2" s="1"/>
  <c r="L15" i="2" s="1"/>
  <c r="E21" i="2"/>
  <c r="H21" i="2" s="1"/>
  <c r="I21" i="2" s="1"/>
  <c r="L21" i="2" s="1"/>
  <c r="L8" i="2" l="1"/>
  <c r="L10" i="2"/>
  <c r="I12" i="2"/>
  <c r="I16" i="2" s="1"/>
  <c r="F35" i="2" s="1"/>
  <c r="F42" i="2"/>
  <c r="L24" i="2"/>
  <c r="L20" i="2"/>
  <c r="F37" i="2"/>
  <c r="L19" i="2"/>
  <c r="F38" i="2"/>
  <c r="L25" i="2"/>
  <c r="L22" i="2"/>
  <c r="L13" i="2"/>
  <c r="H28" i="2"/>
  <c r="I28" i="2" s="1"/>
  <c r="F39" i="2" s="1"/>
  <c r="L12" i="2" l="1"/>
  <c r="L16" i="2" s="1"/>
  <c r="L26" i="2"/>
  <c r="L2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Thiele</author>
    <author>Stefanie Huemmer (RW-D/G)</author>
  </authors>
  <commentList>
    <comment ref="H6" authorId="0" shapeId="0" xr:uid="{00000000-0006-0000-0000-000001000000}">
      <text>
        <r>
          <rPr>
            <sz val="8"/>
            <color indexed="10"/>
            <rFont val="Tahoma"/>
            <family val="2"/>
          </rPr>
          <t xml:space="preserve">Hier bitte </t>
        </r>
        <r>
          <rPr>
            <b/>
            <sz val="8"/>
            <color indexed="10"/>
            <rFont val="Tahoma"/>
            <family val="2"/>
          </rPr>
          <t>Plattendicke in mm</t>
        </r>
        <r>
          <rPr>
            <sz val="8"/>
            <color indexed="10"/>
            <rFont val="Tahoma"/>
            <family val="2"/>
          </rPr>
          <t xml:space="preserve"> eintragen! (ohne Einheit)</t>
        </r>
      </text>
    </comment>
    <comment ref="L7" authorId="0" shapeId="0" xr:uid="{00000000-0006-0000-0000-000002000000}">
      <text>
        <r>
          <rPr>
            <sz val="8"/>
            <color indexed="10"/>
            <rFont val="Tahoma"/>
            <family val="2"/>
          </rPr>
          <t xml:space="preserve">Hier bitte die </t>
        </r>
        <r>
          <rPr>
            <b/>
            <sz val="8"/>
            <color indexed="10"/>
            <rFont val="Tahoma"/>
            <family val="2"/>
          </rPr>
          <t>Lohnkosten/min</t>
        </r>
        <r>
          <rPr>
            <sz val="8"/>
            <color indexed="10"/>
            <rFont val="Tahoma"/>
            <family val="2"/>
          </rPr>
          <t xml:space="preserve"> eintragen!</t>
        </r>
      </text>
    </comment>
    <comment ref="A8" authorId="1" shapeId="0" xr:uid="{00000000-0006-0000-0000-000003000000}">
      <text>
        <r>
          <rPr>
            <b/>
            <sz val="8"/>
            <color indexed="10"/>
            <rFont val="Tahoma"/>
            <family val="2"/>
          </rPr>
          <t>blau hinterlegte Felder =
mehrere Auswahlmöglichkeiten</t>
        </r>
      </text>
    </comment>
    <comment ref="E8" authorId="0" shapeId="0" xr:uid="{00000000-0006-0000-0000-000004000000}">
      <text>
        <r>
          <rPr>
            <sz val="8"/>
            <color indexed="10"/>
            <rFont val="Tahoma"/>
            <family val="2"/>
          </rPr>
          <t xml:space="preserve">Hier bitte </t>
        </r>
        <r>
          <rPr>
            <b/>
            <sz val="8"/>
            <color indexed="10"/>
            <rFont val="Tahoma"/>
            <family val="2"/>
          </rPr>
          <t>Rabattsatz</t>
        </r>
        <r>
          <rPr>
            <sz val="8"/>
            <color indexed="10"/>
            <rFont val="Tahoma"/>
            <family val="2"/>
          </rPr>
          <t xml:space="preserve"> eintragen! 
Dieser Rabattsatz wird in </t>
        </r>
        <r>
          <rPr>
            <b/>
            <sz val="8"/>
            <color indexed="10"/>
            <rFont val="Tahoma"/>
            <family val="2"/>
          </rPr>
          <t>alle</t>
        </r>
        <r>
          <rPr>
            <sz val="8"/>
            <color indexed="10"/>
            <rFont val="Tahoma"/>
            <family val="2"/>
          </rPr>
          <t xml:space="preserve"> Spalten übertragen.
</t>
        </r>
        <r>
          <rPr>
            <b/>
            <sz val="8"/>
            <color indexed="10"/>
            <rFont val="Tahoma"/>
            <family val="2"/>
          </rPr>
          <t>(außer Dämmplatten-Rabattspalte)</t>
        </r>
      </text>
    </comment>
    <comment ref="A28" authorId="1" shapeId="0" xr:uid="{00000000-0006-0000-0000-000005000000}">
      <text>
        <r>
          <rPr>
            <sz val="8"/>
            <color indexed="10"/>
            <rFont val="Tahoma"/>
            <family val="2"/>
          </rPr>
          <t>Verankerungslängen beachten!  (ca. 60 mm)
Bei klebegeeigneten Untergründen, einer Dämmstoffdicke ≤200 mm und einer Windlast kleiner 1,6 kN/m² sind für HECK MW-Lamellen keine Dübel erforderlich.</t>
        </r>
      </text>
    </comment>
  </commentList>
</comments>
</file>

<file path=xl/sharedStrings.xml><?xml version="1.0" encoding="utf-8"?>
<sst xmlns="http://schemas.openxmlformats.org/spreadsheetml/2006/main" count="154" uniqueCount="91">
  <si>
    <t>Zeitauf-wand</t>
  </si>
  <si>
    <t>kg</t>
  </si>
  <si>
    <t>m²</t>
  </si>
  <si>
    <t>Zubehör</t>
  </si>
  <si>
    <t>Preis Grundaufbau</t>
  </si>
  <si>
    <t>Dämmstärke</t>
  </si>
  <si>
    <t>m</t>
  </si>
  <si>
    <t>Bauaufsichtliche Zulassungen bitte beachten!</t>
  </si>
  <si>
    <t>Bedarf/m²                ca.</t>
  </si>
  <si>
    <t>z. B.</t>
  </si>
  <si>
    <t>/m²</t>
  </si>
  <si>
    <t>/m</t>
  </si>
  <si>
    <t>min</t>
  </si>
  <si>
    <t>%</t>
  </si>
  <si>
    <t>Rabatt-satz</t>
  </si>
  <si>
    <t>EP              €</t>
  </si>
  <si>
    <t>Gesamt €</t>
  </si>
  <si>
    <t>Systempreis</t>
  </si>
  <si>
    <t>St.</t>
  </si>
  <si>
    <t>HECK Sockelprofil</t>
  </si>
  <si>
    <t>Lohn + Material</t>
  </si>
  <si>
    <t>HECK K+A grau</t>
  </si>
  <si>
    <t>HECK Fugendichtband 14/3-9</t>
  </si>
  <si>
    <t>St</t>
  </si>
  <si>
    <t>HECK Übergangsprofil Keramik</t>
  </si>
  <si>
    <t>ml</t>
  </si>
  <si>
    <t>HECK PE-Rundschnur 10 mm</t>
  </si>
  <si>
    <t>Verdübelung
(Dübelung durchs Gewebe!)</t>
  </si>
  <si>
    <t>HECK Natursteinsilikon 
(Bedarf ca. 100 ml / lfm bei 
10 mm Fugenbreite und -tiefe) Standard</t>
  </si>
  <si>
    <t>HECK Gewebeeckwinkel PVC (100x150 mm)</t>
  </si>
  <si>
    <t>HECK Schraubdübel STR-U 2G 115 mm</t>
  </si>
  <si>
    <t>HECK Schraubdübel STR-U 2G 135 mm</t>
  </si>
  <si>
    <t>HECK Schraubdübel STR-U 2G 155 mm</t>
  </si>
  <si>
    <t>HECK Schraubdübel STR-U 2G 175 mm</t>
  </si>
  <si>
    <t>HECK Schraubdübel STR-U 2G 195 mm</t>
  </si>
  <si>
    <t>HECK Schraubdübel STR-U 2G 215 mm</t>
  </si>
  <si>
    <t>HECK Schraubdübel STR-U 2G 235 mm</t>
  </si>
  <si>
    <t>HECK Schraubdübel STR-U 2G 255 mm</t>
  </si>
  <si>
    <t>HECK Schraubdübel STR-U 2G 275 mm</t>
  </si>
  <si>
    <t>HECK Schraubdübel STR-U 2G 295 mm</t>
  </si>
  <si>
    <t>HECK Anputzleiste W30 Plus</t>
  </si>
  <si>
    <t>HECK Fugendichtband 20/2-6</t>
  </si>
  <si>
    <t>HECK Fugendichtband 20/4-9</t>
  </si>
  <si>
    <t>HECK Fugendichtband 14/2-6</t>
  </si>
  <si>
    <t>HECK Fugendichtband 14/5-12</t>
  </si>
  <si>
    <t>Dübelzubehör:</t>
  </si>
  <si>
    <t>z. B. je</t>
  </si>
  <si>
    <t xml:space="preserve">z. B. </t>
  </si>
  <si>
    <t>HECK Dübelteller 90 (Coverrock)</t>
  </si>
  <si>
    <t>HECK Dübelteller 140 (Lamelle)</t>
  </si>
  <si>
    <t>Materialkosten</t>
  </si>
  <si>
    <t>Wandfläche</t>
  </si>
  <si>
    <t>Leibungen</t>
  </si>
  <si>
    <t>lfm</t>
  </si>
  <si>
    <t>Gebäudeecken</t>
  </si>
  <si>
    <t>Sockel</t>
  </si>
  <si>
    <t>Verdübelung</t>
  </si>
  <si>
    <t>Materialbedarf</t>
  </si>
  <si>
    <t>(Kleben)</t>
  </si>
  <si>
    <t>(Armieren)</t>
  </si>
  <si>
    <t>HECK Natursteinsilikon</t>
  </si>
  <si>
    <t>HECK PE-Rundschnur</t>
  </si>
  <si>
    <t>HECK MW-Lamelle 040-II</t>
  </si>
  <si>
    <t>HECK Coverrock II 035</t>
  </si>
  <si>
    <t>HECK Dübelteller VT2G + HECK STR-Rondelle MW</t>
  </si>
  <si>
    <t>HECK Natursteinsilikon (Karton á 20 Stück á 310 ml)</t>
  </si>
  <si>
    <t>HECK STR-Verschlusselement Steinwolle</t>
  </si>
  <si>
    <t>HECK MW-Keramik</t>
  </si>
  <si>
    <t>HECK AGG CER (Armierungsgewebe Keramik)</t>
  </si>
  <si>
    <t>HECK KLM CER (Klebemörtel Keramik)</t>
  </si>
  <si>
    <t>HECK BK (Baukleber)</t>
  </si>
  <si>
    <t>HECK FM CER H (Fugenmörtel Keramik Handverfugung) (GFT)
Verbrauch bei 10 mm Fugenbreite und –tiefe; NF, Läuferverband</t>
  </si>
  <si>
    <t>HECK FM CER SLF (Fugenmörtel Keramik Schlämmverfugung) (GFT)
Verbrauch bei 10 mm Fugenbreite und –tiefe; NF, Läuferverband</t>
  </si>
  <si>
    <t>HECK FM CER SPF (Fugenmörtel Keramik Spritzverfugung) (GFT)
Verbrauch bei 10 mm Fugenbreite und –tiefe; NF, Läuferverband</t>
  </si>
  <si>
    <t>HECK Coverrock X-2</t>
  </si>
  <si>
    <t>Listenpreis 2025 
€</t>
  </si>
  <si>
    <t xml:space="preserve">Bei den Angaben in der Tabelle handelt es sich um unverbindliche Durchschnittswerte und  Richtwerte aus der </t>
  </si>
  <si>
    <t xml:space="preserve">"Zeitaufwand-Tabelle - Ausbau / Fassade, 5. Auflage" vom Fachverband der Stuckateuere für Ausbau und Fassade. </t>
  </si>
  <si>
    <t>Die tatsächlichen Verbräuche und vor allem Zeitwerte können je nach den örtlichen Gegebenheiten auch in größerem Umfang</t>
  </si>
  <si>
    <t xml:space="preserve"> von den Richtwerten abweichen. Zum Erreichen der genannten Zeitwerte kann je nach Bauvorhaben/Produkt der Einsatz </t>
  </si>
  <si>
    <t xml:space="preserve">von Maschinentechnik erforderlich sein. Die angegebenen Preise und Verbräuche sind vom Listenanwender zu überprüfen </t>
  </si>
  <si>
    <t xml:space="preserve">und können nicht garantiert werden. Wir liefern ausschließlich auf Grundlage unserer AGB, Lieferungen/Preise ab Werk, </t>
  </si>
  <si>
    <t xml:space="preserve">zuzügl. ges. MwSt. Die obige Aufstellung enthält wesentliche Komponenten des Systemaufbaus, je nach Ausführungsart </t>
  </si>
  <si>
    <t>können Ergänzungen (z.B. Grundierungen, Profile etc.) erforderlich sein.</t>
  </si>
  <si>
    <t xml:space="preserve">HECK Riemchen Bsp: 1H00-9 (NF, Läuferverband) </t>
  </si>
  <si>
    <t>HECK Eckriemchen nach Bedarf  WR 1H00-9NF</t>
  </si>
  <si>
    <t>HECK Übergangsprofil Keramik PVC</t>
  </si>
  <si>
    <t>HECK Übergangsprofil Keramik Edelstahl</t>
  </si>
  <si>
    <t>HECK Anputzleiste Membran Giga Flex</t>
  </si>
  <si>
    <t>HECK Anputzleiste mini mit Gewebe</t>
  </si>
  <si>
    <t>HECK Anputzleiste W38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</si>
</sst>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\ &quot;DM&quot;_-;\-* #,##0.00\ &quot;DM&quot;_-;_-* &quot;-&quot;??\ &quot;DM&quot;_-;_-@_-"/>
    <numFmt numFmtId="165" formatCode="0.0"/>
    <numFmt numFmtId="166" formatCode="#,##0.00\ &quot;DM&quot;"/>
    <numFmt numFmtId="167" formatCode="#,##0.00\ \€"/>
    <numFmt numFmtId="168" formatCode="0\ &quot;Stück&quot;"/>
    <numFmt numFmtId="169" formatCode="0.0000"/>
    <numFmt numFmtId="170" formatCode="#,##0.00\ &quot;€&quot;"/>
    <numFmt numFmtId="171" formatCode="0\ &quot;qm&quot;"/>
    <numFmt numFmtId="172" formatCode="0\ &quot;Sack&quot;"/>
    <numFmt numFmtId="173" formatCode="0\ &quot;Rollen&quot;"/>
    <numFmt numFmtId="174" formatCode="0\ &quot;Karton&quot;"/>
  </numFmts>
  <fonts count="2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color indexed="12"/>
      <name val="Arial"/>
      <family val="2"/>
    </font>
    <font>
      <sz val="7"/>
      <name val="Arial"/>
      <family val="2"/>
    </font>
    <font>
      <u/>
      <sz val="9"/>
      <name val="Arial"/>
      <family val="2"/>
    </font>
    <font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9.5"/>
      <name val="Arial"/>
      <family val="2"/>
    </font>
    <font>
      <sz val="9.5"/>
      <name val="Arial"/>
      <family val="2"/>
    </font>
    <font>
      <b/>
      <sz val="9.5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8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4" fontId="9" fillId="0" borderId="0" xfId="0" applyNumberFormat="1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left"/>
    </xf>
    <xf numFmtId="0" fontId="0" fillId="0" borderId="0" xfId="0" applyAlignment="1">
      <alignment vertical="center"/>
    </xf>
    <xf numFmtId="0" fontId="10" fillId="0" borderId="0" xfId="0" applyFont="1"/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15" fillId="2" borderId="5" xfId="0" applyFont="1" applyFill="1" applyBorder="1" applyAlignment="1">
      <alignment horizontal="right" vertical="center"/>
    </xf>
    <xf numFmtId="2" fontId="14" fillId="0" borderId="1" xfId="0" applyNumberFormat="1" applyFont="1" applyBorder="1" applyAlignment="1">
      <alignment horizontal="center" vertical="center"/>
    </xf>
    <xf numFmtId="2" fontId="14" fillId="0" borderId="2" xfId="0" applyNumberFormat="1" applyFont="1" applyBorder="1" applyAlignment="1">
      <alignment horizontal="center" vertical="center"/>
    </xf>
    <xf numFmtId="1" fontId="14" fillId="0" borderId="6" xfId="0" applyNumberFormat="1" applyFont="1" applyBorder="1" applyAlignment="1">
      <alignment horizontal="right" vertical="center"/>
    </xf>
    <xf numFmtId="1" fontId="14" fillId="0" borderId="7" xfId="0" applyNumberFormat="1" applyFont="1" applyBorder="1" applyAlignment="1">
      <alignment horizontal="left" vertical="center"/>
    </xf>
    <xf numFmtId="165" fontId="14" fillId="0" borderId="3" xfId="0" applyNumberFormat="1" applyFont="1" applyBorder="1" applyAlignment="1">
      <alignment vertical="center"/>
    </xf>
    <xf numFmtId="1" fontId="14" fillId="0" borderId="9" xfId="0" applyNumberFormat="1" applyFont="1" applyBorder="1" applyAlignment="1">
      <alignment horizontal="left" vertical="center"/>
    </xf>
    <xf numFmtId="0" fontId="14" fillId="0" borderId="3" xfId="0" quotePrefix="1" applyFont="1" applyBorder="1" applyAlignment="1">
      <alignment horizontal="left" vertical="center"/>
    </xf>
    <xf numFmtId="0" fontId="14" fillId="0" borderId="3" xfId="0" quotePrefix="1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right"/>
    </xf>
    <xf numFmtId="166" fontId="14" fillId="0" borderId="0" xfId="0" applyNumberFormat="1" applyFont="1" applyAlignment="1">
      <alignment horizontal="center"/>
    </xf>
    <xf numFmtId="1" fontId="14" fillId="0" borderId="0" xfId="0" applyNumberFormat="1" applyFont="1" applyAlignment="1">
      <alignment horizontal="right"/>
    </xf>
    <xf numFmtId="0" fontId="13" fillId="0" borderId="1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0" fontId="14" fillId="0" borderId="6" xfId="0" applyFont="1" applyBorder="1" applyAlignment="1">
      <alignment horizontal="right" vertical="center"/>
    </xf>
    <xf numFmtId="0" fontId="14" fillId="0" borderId="6" xfId="0" applyFont="1" applyBorder="1" applyAlignment="1">
      <alignment horizontal="left" vertical="center"/>
    </xf>
    <xf numFmtId="166" fontId="14" fillId="0" borderId="6" xfId="0" applyNumberFormat="1" applyFont="1" applyBorder="1" applyAlignment="1">
      <alignment horizontal="center" vertical="center"/>
    </xf>
    <xf numFmtId="2" fontId="14" fillId="0" borderId="6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3" xfId="0" applyFont="1" applyBorder="1" applyAlignment="1">
      <alignment horizontal="right" vertical="center"/>
    </xf>
    <xf numFmtId="0" fontId="13" fillId="0" borderId="11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17" fillId="0" borderId="0" xfId="0" applyFont="1" applyAlignment="1">
      <alignment vertical="center"/>
    </xf>
    <xf numFmtId="2" fontId="14" fillId="0" borderId="4" xfId="1" applyNumberFormat="1" applyFont="1" applyFill="1" applyBorder="1" applyAlignment="1">
      <alignment horizontal="center" vertical="center"/>
    </xf>
    <xf numFmtId="2" fontId="14" fillId="0" borderId="3" xfId="1" applyNumberFormat="1" applyFont="1" applyBorder="1" applyAlignment="1">
      <alignment horizontal="center" vertical="center"/>
    </xf>
    <xf numFmtId="1" fontId="14" fillId="0" borderId="9" xfId="0" applyNumberFormat="1" applyFont="1" applyBorder="1" applyAlignment="1">
      <alignment horizontal="left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167" fontId="15" fillId="2" borderId="14" xfId="1" applyNumberFormat="1" applyFont="1" applyFill="1" applyBorder="1" applyAlignment="1">
      <alignment horizontal="center" vertical="center"/>
    </xf>
    <xf numFmtId="167" fontId="14" fillId="0" borderId="15" xfId="1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167" fontId="14" fillId="0" borderId="14" xfId="1" applyNumberFormat="1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19" fillId="0" borderId="0" xfId="0" applyFont="1"/>
    <xf numFmtId="0" fontId="14" fillId="0" borderId="11" xfId="0" applyFont="1" applyBorder="1" applyAlignment="1">
      <alignment horizontal="left" vertical="center" wrapText="1"/>
    </xf>
    <xf numFmtId="1" fontId="14" fillId="0" borderId="3" xfId="0" applyNumberFormat="1" applyFont="1" applyBorder="1" applyAlignment="1">
      <alignment vertical="center"/>
    </xf>
    <xf numFmtId="4" fontId="14" fillId="0" borderId="2" xfId="0" applyNumberFormat="1" applyFont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vertical="center"/>
    </xf>
    <xf numFmtId="0" fontId="13" fillId="3" borderId="4" xfId="0" applyFont="1" applyFill="1" applyBorder="1" applyAlignment="1">
      <alignment horizontal="left" vertical="center"/>
    </xf>
    <xf numFmtId="0" fontId="13" fillId="3" borderId="5" xfId="0" applyFont="1" applyFill="1" applyBorder="1" applyAlignment="1">
      <alignment horizontal="right" vertical="center"/>
    </xf>
    <xf numFmtId="2" fontId="13" fillId="3" borderId="4" xfId="1" applyNumberFormat="1" applyFont="1" applyFill="1" applyBorder="1" applyAlignment="1">
      <alignment horizontal="center" vertical="center"/>
    </xf>
    <xf numFmtId="2" fontId="13" fillId="3" borderId="1" xfId="0" applyNumberFormat="1" applyFont="1" applyFill="1" applyBorder="1" applyAlignment="1">
      <alignment horizontal="center" vertical="center"/>
    </xf>
    <xf numFmtId="4" fontId="13" fillId="3" borderId="2" xfId="0" applyNumberFormat="1" applyFont="1" applyFill="1" applyBorder="1" applyAlignment="1">
      <alignment horizontal="center" vertical="center"/>
    </xf>
    <xf numFmtId="1" fontId="13" fillId="3" borderId="3" xfId="0" applyNumberFormat="1" applyFont="1" applyFill="1" applyBorder="1" applyAlignment="1">
      <alignment horizontal="right" vertical="center"/>
    </xf>
    <xf numFmtId="1" fontId="13" fillId="3" borderId="9" xfId="0" applyNumberFormat="1" applyFont="1" applyFill="1" applyBorder="1" applyAlignment="1">
      <alignment horizontal="left" vertical="center"/>
    </xf>
    <xf numFmtId="167" fontId="13" fillId="3" borderId="14" xfId="1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2" fillId="0" borderId="0" xfId="0" applyFont="1"/>
    <xf numFmtId="0" fontId="14" fillId="4" borderId="1" xfId="0" applyFont="1" applyFill="1" applyBorder="1" applyAlignment="1">
      <alignment horizontal="left" vertical="center" wrapText="1"/>
    </xf>
    <xf numFmtId="2" fontId="14" fillId="0" borderId="12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right" vertical="center" wrapText="1"/>
    </xf>
    <xf numFmtId="2" fontId="14" fillId="0" borderId="4" xfId="1" applyNumberFormat="1" applyFont="1" applyBorder="1" applyAlignment="1">
      <alignment horizontal="center" vertical="center"/>
    </xf>
    <xf numFmtId="2" fontId="14" fillId="0" borderId="2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14" fillId="0" borderId="0" xfId="0" applyFont="1" applyAlignment="1">
      <alignment horizontal="right" vertical="center" wrapText="1"/>
    </xf>
    <xf numFmtId="0" fontId="14" fillId="0" borderId="0" xfId="0" applyFont="1" applyAlignment="1">
      <alignment horizontal="right" vertical="center"/>
    </xf>
    <xf numFmtId="2" fontId="14" fillId="0" borderId="0" xfId="0" applyNumberFormat="1" applyFont="1" applyAlignment="1">
      <alignment horizontal="center" vertical="center" wrapText="1"/>
    </xf>
    <xf numFmtId="2" fontId="14" fillId="0" borderId="0" xfId="0" applyNumberFormat="1" applyFont="1" applyAlignment="1">
      <alignment horizontal="center" vertical="center"/>
    </xf>
    <xf numFmtId="1" fontId="14" fillId="0" borderId="0" xfId="0" applyNumberFormat="1" applyFont="1" applyAlignment="1">
      <alignment horizontal="right" vertical="center"/>
    </xf>
    <xf numFmtId="1" fontId="14" fillId="0" borderId="0" xfId="0" applyNumberFormat="1" applyFont="1" applyAlignment="1">
      <alignment horizontal="left" vertical="center"/>
    </xf>
    <xf numFmtId="167" fontId="14" fillId="0" borderId="0" xfId="1" applyNumberFormat="1" applyFont="1" applyBorder="1" applyAlignment="1">
      <alignment horizontal="center" vertical="center"/>
    </xf>
    <xf numFmtId="0" fontId="14" fillId="0" borderId="17" xfId="0" applyFont="1" applyBorder="1" applyAlignment="1">
      <alignment horizontal="right" vertical="center"/>
    </xf>
    <xf numFmtId="0" fontId="14" fillId="0" borderId="17" xfId="0" applyFont="1" applyBorder="1" applyAlignment="1">
      <alignment horizontal="left" vertical="center"/>
    </xf>
    <xf numFmtId="0" fontId="14" fillId="4" borderId="12" xfId="0" applyFont="1" applyFill="1" applyBorder="1" applyAlignment="1">
      <alignment horizontal="left" vertical="center" wrapText="1"/>
    </xf>
    <xf numFmtId="169" fontId="14" fillId="0" borderId="17" xfId="1" applyNumberFormat="1" applyFont="1" applyFill="1" applyBorder="1" applyAlignment="1">
      <alignment horizontal="center" vertical="center"/>
    </xf>
    <xf numFmtId="169" fontId="14" fillId="0" borderId="0" xfId="1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4" fillId="0" borderId="12" xfId="0" applyFont="1" applyBorder="1" applyAlignment="1">
      <alignment horizontal="left" vertical="center"/>
    </xf>
    <xf numFmtId="0" fontId="14" fillId="0" borderId="12" xfId="0" applyFont="1" applyBorder="1" applyAlignment="1">
      <alignment horizontal="left"/>
    </xf>
    <xf numFmtId="0" fontId="13" fillId="5" borderId="0" xfId="0" applyFont="1" applyFill="1" applyAlignment="1">
      <alignment horizontal="right" vertical="center"/>
    </xf>
    <xf numFmtId="0" fontId="13" fillId="0" borderId="0" xfId="0" applyFont="1" applyAlignment="1">
      <alignment horizontal="left"/>
    </xf>
    <xf numFmtId="167" fontId="1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right" vertical="center"/>
    </xf>
    <xf numFmtId="2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7" fontId="20" fillId="0" borderId="0" xfId="1" applyNumberFormat="1" applyFont="1" applyBorder="1" applyAlignment="1">
      <alignment horizontal="right" vertical="center"/>
    </xf>
    <xf numFmtId="169" fontId="14" fillId="0" borderId="3" xfId="1" applyNumberFormat="1" applyFont="1" applyBorder="1" applyAlignment="1">
      <alignment horizontal="center" vertical="center"/>
    </xf>
    <xf numFmtId="49" fontId="21" fillId="0" borderId="0" xfId="0" applyNumberFormat="1" applyFont="1" applyAlignment="1">
      <alignment vertical="center" wrapText="1"/>
    </xf>
    <xf numFmtId="2" fontId="22" fillId="0" borderId="0" xfId="0" applyNumberFormat="1" applyFont="1"/>
    <xf numFmtId="1" fontId="14" fillId="0" borderId="30" xfId="0" applyNumberFormat="1" applyFont="1" applyBorder="1" applyAlignment="1">
      <alignment horizontal="right" vertical="center"/>
    </xf>
    <xf numFmtId="1" fontId="14" fillId="0" borderId="31" xfId="0" applyNumberFormat="1" applyFont="1" applyBorder="1" applyAlignment="1">
      <alignment horizontal="right" vertical="center"/>
    </xf>
    <xf numFmtId="1" fontId="14" fillId="0" borderId="7" xfId="0" applyNumberFormat="1" applyFont="1" applyBorder="1" applyAlignment="1">
      <alignment horizontal="left" vertical="center"/>
    </xf>
    <xf numFmtId="1" fontId="14" fillId="0" borderId="21" xfId="0" applyNumberFormat="1" applyFont="1" applyBorder="1" applyAlignment="1">
      <alignment horizontal="left" vertical="center"/>
    </xf>
    <xf numFmtId="167" fontId="14" fillId="0" borderId="15" xfId="1" applyNumberFormat="1" applyFont="1" applyBorder="1" applyAlignment="1">
      <alignment horizontal="center" vertical="center"/>
    </xf>
    <xf numFmtId="167" fontId="14" fillId="0" borderId="16" xfId="1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3" fillId="3" borderId="20" xfId="0" applyFont="1" applyFill="1" applyBorder="1" applyAlignment="1">
      <alignment horizontal="left" vertical="center" wrapText="1"/>
    </xf>
    <xf numFmtId="0" fontId="13" fillId="3" borderId="11" xfId="0" applyFont="1" applyFill="1" applyBorder="1" applyAlignment="1">
      <alignment horizontal="left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0" borderId="29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1" fontId="14" fillId="0" borderId="6" xfId="0" applyNumberFormat="1" applyFont="1" applyBorder="1" applyAlignment="1">
      <alignment horizontal="right" vertical="center"/>
    </xf>
    <xf numFmtId="1" fontId="14" fillId="0" borderId="17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2" fontId="14" fillId="0" borderId="5" xfId="0" applyNumberFormat="1" applyFont="1" applyBorder="1" applyAlignment="1">
      <alignment horizontal="center" vertical="center"/>
    </xf>
    <xf numFmtId="2" fontId="14" fillId="0" borderId="3" xfId="0" applyNumberFormat="1" applyFont="1" applyBorder="1" applyAlignment="1">
      <alignment horizontal="center" vertical="center"/>
    </xf>
    <xf numFmtId="2" fontId="14" fillId="0" borderId="9" xfId="0" applyNumberFormat="1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2" fontId="7" fillId="0" borderId="5" xfId="0" applyNumberFormat="1" applyFont="1" applyBorder="1" applyAlignment="1">
      <alignment horizontal="right" vertical="center"/>
    </xf>
    <xf numFmtId="2" fontId="7" fillId="0" borderId="3" xfId="0" applyNumberFormat="1" applyFont="1" applyBorder="1" applyAlignment="1">
      <alignment horizontal="right" vertical="center"/>
    </xf>
    <xf numFmtId="2" fontId="7" fillId="0" borderId="3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7" fontId="20" fillId="0" borderId="5" xfId="1" applyNumberFormat="1" applyFont="1" applyBorder="1" applyAlignment="1">
      <alignment horizontal="right" vertical="center"/>
    </xf>
    <xf numFmtId="167" fontId="20" fillId="0" borderId="4" xfId="1" applyNumberFormat="1" applyFont="1" applyBorder="1" applyAlignment="1">
      <alignment horizontal="right" vertical="center"/>
    </xf>
    <xf numFmtId="170" fontId="20" fillId="0" borderId="32" xfId="1" applyNumberFormat="1" applyFont="1" applyBorder="1" applyAlignment="1">
      <alignment horizontal="right"/>
    </xf>
    <xf numFmtId="170" fontId="20" fillId="0" borderId="33" xfId="1" applyNumberFormat="1" applyFont="1" applyBorder="1" applyAlignment="1">
      <alignment horizontal="right"/>
    </xf>
    <xf numFmtId="2" fontId="7" fillId="0" borderId="5" xfId="0" applyNumberFormat="1" applyFont="1" applyBorder="1" applyAlignment="1">
      <alignment horizontal="right"/>
    </xf>
    <xf numFmtId="2" fontId="7" fillId="0" borderId="3" xfId="0" applyNumberFormat="1" applyFont="1" applyBorder="1" applyAlignment="1">
      <alignment horizontal="right"/>
    </xf>
    <xf numFmtId="2" fontId="7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167" fontId="20" fillId="0" borderId="32" xfId="1" applyNumberFormat="1" applyFont="1" applyBorder="1" applyAlignment="1">
      <alignment horizontal="right"/>
    </xf>
    <xf numFmtId="167" fontId="20" fillId="0" borderId="33" xfId="1" applyNumberFormat="1" applyFont="1" applyBorder="1" applyAlignment="1">
      <alignment horizontal="right"/>
    </xf>
    <xf numFmtId="167" fontId="20" fillId="0" borderId="12" xfId="1" applyNumberFormat="1" applyFont="1" applyBorder="1" applyAlignment="1">
      <alignment horizontal="right"/>
    </xf>
    <xf numFmtId="0" fontId="14" fillId="0" borderId="12" xfId="0" applyFont="1" applyBorder="1" applyAlignment="1">
      <alignment horizontal="left"/>
    </xf>
    <xf numFmtId="0" fontId="0" fillId="0" borderId="12" xfId="0" applyBorder="1"/>
    <xf numFmtId="171" fontId="2" fillId="0" borderId="12" xfId="0" applyNumberFormat="1" applyFont="1" applyBorder="1" applyAlignment="1">
      <alignment horizontal="right"/>
    </xf>
    <xf numFmtId="172" fontId="2" fillId="0" borderId="12" xfId="0" applyNumberFormat="1" applyFont="1" applyBorder="1" applyAlignment="1">
      <alignment horizontal="right"/>
    </xf>
    <xf numFmtId="14" fontId="14" fillId="0" borderId="12" xfId="0" applyNumberFormat="1" applyFont="1" applyBorder="1" applyAlignment="1">
      <alignment horizontal="left"/>
    </xf>
    <xf numFmtId="168" fontId="2" fillId="0" borderId="5" xfId="0" applyNumberFormat="1" applyFont="1" applyBorder="1"/>
    <xf numFmtId="168" fontId="2" fillId="0" borderId="4" xfId="0" applyNumberFormat="1" applyFont="1" applyBorder="1"/>
    <xf numFmtId="173" fontId="2" fillId="0" borderId="12" xfId="0" applyNumberFormat="1" applyFont="1" applyBorder="1"/>
    <xf numFmtId="172" fontId="2" fillId="0" borderId="12" xfId="0" applyNumberFormat="1" applyFont="1" applyBorder="1"/>
    <xf numFmtId="172" fontId="2" fillId="0" borderId="5" xfId="0" applyNumberFormat="1" applyFont="1" applyBorder="1"/>
    <xf numFmtId="172" fontId="2" fillId="0" borderId="4" xfId="0" applyNumberFormat="1" applyFont="1" applyBorder="1"/>
    <xf numFmtId="0" fontId="14" fillId="0" borderId="12" xfId="0" applyFont="1" applyBorder="1" applyAlignment="1">
      <alignment horizontal="left" vertical="center"/>
    </xf>
    <xf numFmtId="173" fontId="2" fillId="0" borderId="5" xfId="0" applyNumberFormat="1" applyFont="1" applyBorder="1"/>
    <xf numFmtId="173" fontId="2" fillId="0" borderId="4" xfId="0" applyNumberFormat="1" applyFont="1" applyBorder="1"/>
    <xf numFmtId="0" fontId="14" fillId="0" borderId="5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174" fontId="2" fillId="0" borderId="12" xfId="0" applyNumberFormat="1" applyFont="1" applyBorder="1" applyAlignment="1">
      <alignment horizontal="right"/>
    </xf>
    <xf numFmtId="173" fontId="2" fillId="0" borderId="12" xfId="0" applyNumberFormat="1" applyFont="1" applyBorder="1" applyAlignment="1">
      <alignment horizontal="right"/>
    </xf>
    <xf numFmtId="168" fontId="2" fillId="0" borderId="12" xfId="0" applyNumberFormat="1" applyFont="1" applyBorder="1" applyAlignment="1">
      <alignment horizontal="right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4"/>
  <sheetViews>
    <sheetView showGridLines="0" tabSelected="1" topLeftCell="A9" zoomScaleNormal="100" workbookViewId="0">
      <selection activeCell="A56" sqref="A56:E56"/>
    </sheetView>
  </sheetViews>
  <sheetFormatPr baseColWidth="10" defaultRowHeight="12.75" x14ac:dyDescent="0.2"/>
  <cols>
    <col min="1" max="1" width="33.5703125" style="9" customWidth="1"/>
    <col min="2" max="2" width="4.7109375" style="9" customWidth="1"/>
    <col min="3" max="3" width="4.7109375" customWidth="1"/>
    <col min="4" max="4" width="4.28515625" customWidth="1"/>
    <col min="5" max="6" width="3.7109375" customWidth="1"/>
    <col min="7" max="7" width="10.7109375" customWidth="1"/>
    <col min="8" max="8" width="7.7109375" customWidth="1"/>
    <col min="9" max="9" width="10" customWidth="1"/>
    <col min="10" max="11" width="4.7109375" customWidth="1"/>
    <col min="12" max="12" width="12.7109375" customWidth="1"/>
    <col min="13" max="13" width="5.85546875" customWidth="1"/>
    <col min="14" max="14" width="6.42578125" customWidth="1"/>
  </cols>
  <sheetData>
    <row r="1" spans="1:19" s="3" customFormat="1" ht="14.1" customHeight="1" x14ac:dyDescent="0.25">
      <c r="A1" s="52"/>
      <c r="B1" s="11"/>
      <c r="C1" s="2"/>
      <c r="D1" s="2"/>
      <c r="E1" s="2"/>
      <c r="F1" s="50"/>
      <c r="H1" s="53"/>
      <c r="I1" s="53"/>
      <c r="J1" s="53"/>
      <c r="K1" s="53"/>
      <c r="L1" s="53"/>
      <c r="M1" s="53"/>
    </row>
    <row r="2" spans="1:19" s="3" customFormat="1" ht="14.1" customHeight="1" x14ac:dyDescent="0.25">
      <c r="A2" s="7"/>
      <c r="B2" s="7"/>
      <c r="C2" s="2"/>
      <c r="D2" s="2"/>
      <c r="E2" s="2"/>
      <c r="F2" s="2"/>
      <c r="G2" s="2"/>
    </row>
    <row r="3" spans="1:19" s="3" customFormat="1" ht="14.1" customHeight="1" x14ac:dyDescent="0.25">
      <c r="A3" s="7"/>
      <c r="B3" s="7"/>
      <c r="C3" s="2"/>
      <c r="D3" s="2"/>
      <c r="E3" s="2"/>
      <c r="F3" s="2"/>
      <c r="G3" s="2"/>
      <c r="J3" s="16"/>
    </row>
    <row r="4" spans="1:19" ht="14.1" customHeight="1" x14ac:dyDescent="0.2">
      <c r="A4" s="8"/>
      <c r="B4" s="8"/>
      <c r="C4" s="1"/>
      <c r="D4" s="1"/>
      <c r="E4" s="1"/>
      <c r="F4" s="1"/>
      <c r="G4" s="1"/>
      <c r="J4" s="125"/>
      <c r="K4" s="125"/>
      <c r="L4" s="15"/>
      <c r="M4" s="15"/>
    </row>
    <row r="5" spans="1:19" ht="14.1" customHeight="1" thickBot="1" x14ac:dyDescent="0.25"/>
    <row r="6" spans="1:19" s="4" customFormat="1" ht="24" customHeight="1" x14ac:dyDescent="0.2">
      <c r="A6" s="126" t="s">
        <v>67</v>
      </c>
      <c r="B6" s="130" t="s">
        <v>5</v>
      </c>
      <c r="C6" s="131"/>
      <c r="D6" s="132"/>
      <c r="E6" s="130" t="s">
        <v>14</v>
      </c>
      <c r="F6" s="132"/>
      <c r="G6" s="140" t="s">
        <v>75</v>
      </c>
      <c r="H6" s="138">
        <v>100</v>
      </c>
      <c r="I6" s="139"/>
      <c r="J6" s="128" t="s">
        <v>0</v>
      </c>
      <c r="K6" s="129"/>
      <c r="L6" s="58" t="s">
        <v>20</v>
      </c>
    </row>
    <row r="7" spans="1:19" s="4" customFormat="1" ht="24" customHeight="1" x14ac:dyDescent="0.2">
      <c r="A7" s="127"/>
      <c r="B7" s="133" t="s">
        <v>8</v>
      </c>
      <c r="C7" s="134"/>
      <c r="D7" s="135"/>
      <c r="E7" s="136"/>
      <c r="F7" s="137"/>
      <c r="G7" s="141"/>
      <c r="H7" s="17" t="s">
        <v>15</v>
      </c>
      <c r="I7" s="18" t="s">
        <v>16</v>
      </c>
      <c r="J7" s="144" t="s">
        <v>12</v>
      </c>
      <c r="K7" s="145"/>
      <c r="L7" s="59">
        <v>0</v>
      </c>
    </row>
    <row r="8" spans="1:19" s="4" customFormat="1" ht="24" customHeight="1" x14ac:dyDescent="0.2">
      <c r="A8" s="86" t="s">
        <v>21</v>
      </c>
      <c r="B8" s="20"/>
      <c r="C8" s="21">
        <f>VLOOKUP(A8,Tabelle1!A1:B2,2,0)</f>
        <v>4</v>
      </c>
      <c r="D8" s="22" t="s">
        <v>1</v>
      </c>
      <c r="E8" s="23">
        <v>0</v>
      </c>
      <c r="F8" s="22" t="s">
        <v>13</v>
      </c>
      <c r="G8" s="89">
        <f>VLOOKUP(A8,Tabelle1!A1:C2,3,0)</f>
        <v>1.33</v>
      </c>
      <c r="H8" s="24">
        <f>G8-G8*E8/100</f>
        <v>1.33</v>
      </c>
      <c r="I8" s="68">
        <f>PRODUCT(C8,H8)</f>
        <v>5.32</v>
      </c>
      <c r="J8" s="142">
        <f>VLOOKUP(A9,Tabelle1!A6:D8,4,0)</f>
        <v>25</v>
      </c>
      <c r="K8" s="121" t="s">
        <v>10</v>
      </c>
      <c r="L8" s="123">
        <f>SUM(I8+I9+(J8*L7))</f>
        <v>54.68</v>
      </c>
    </row>
    <row r="9" spans="1:19" s="4" customFormat="1" ht="24" customHeight="1" x14ac:dyDescent="0.2">
      <c r="A9" s="86" t="s">
        <v>74</v>
      </c>
      <c r="B9" s="20"/>
      <c r="C9" s="28">
        <v>1</v>
      </c>
      <c r="D9" s="22" t="s">
        <v>2</v>
      </c>
      <c r="E9" s="23">
        <v>0</v>
      </c>
      <c r="F9" s="22" t="s">
        <v>13</v>
      </c>
      <c r="G9" s="54">
        <f>VLOOKUP(A9,Tabelle1!A6:B8,2,0)</f>
        <v>49.36</v>
      </c>
      <c r="H9" s="24">
        <f>G9-G9*E9/100</f>
        <v>49.36</v>
      </c>
      <c r="I9" s="68">
        <f>PRODUCT(C9,H9)</f>
        <v>49.36</v>
      </c>
      <c r="J9" s="143"/>
      <c r="K9" s="122"/>
      <c r="L9" s="124"/>
    </row>
    <row r="10" spans="1:19" s="4" customFormat="1" ht="24" customHeight="1" x14ac:dyDescent="0.2">
      <c r="A10" s="19" t="s">
        <v>21</v>
      </c>
      <c r="B10" s="20"/>
      <c r="C10" s="21">
        <v>7</v>
      </c>
      <c r="D10" s="22" t="s">
        <v>1</v>
      </c>
      <c r="E10" s="23" t="str">
        <f>REPT(E8,1)</f>
        <v>0</v>
      </c>
      <c r="F10" s="22" t="s">
        <v>13</v>
      </c>
      <c r="G10" s="89">
        <f>VLOOKUP(A10,Tabelle1!A1:C2,3,0)</f>
        <v>1.33</v>
      </c>
      <c r="H10" s="24">
        <f>G10-G10*E10/100</f>
        <v>1.33</v>
      </c>
      <c r="I10" s="68">
        <f>PRODUCT(C10,H10)</f>
        <v>9.31</v>
      </c>
      <c r="J10" s="119">
        <v>16</v>
      </c>
      <c r="K10" s="121" t="s">
        <v>10</v>
      </c>
      <c r="L10" s="123">
        <f>SUM(I10+I11+(J10*L7))</f>
        <v>13.35</v>
      </c>
    </row>
    <row r="11" spans="1:19" s="4" customFormat="1" ht="30.75" customHeight="1" x14ac:dyDescent="0.2">
      <c r="A11" s="19" t="s">
        <v>68</v>
      </c>
      <c r="B11" s="20"/>
      <c r="C11" s="21">
        <v>1.1000000000000001</v>
      </c>
      <c r="D11" s="22" t="s">
        <v>2</v>
      </c>
      <c r="E11" s="23" t="str">
        <f>REPT(E8,1)</f>
        <v>0</v>
      </c>
      <c r="F11" s="22" t="s">
        <v>13</v>
      </c>
      <c r="G11" s="89">
        <v>3.67</v>
      </c>
      <c r="H11" s="24">
        <f>G11-G11*E11/100</f>
        <v>3.67</v>
      </c>
      <c r="I11" s="68">
        <f>PRODUCT(C11,H11)</f>
        <v>4.04</v>
      </c>
      <c r="J11" s="120"/>
      <c r="K11" s="122"/>
      <c r="L11" s="124"/>
    </row>
    <row r="12" spans="1:19" s="5" customFormat="1" ht="24" customHeight="1" x14ac:dyDescent="0.2">
      <c r="A12" s="70" t="s">
        <v>4</v>
      </c>
      <c r="B12" s="71"/>
      <c r="C12" s="72"/>
      <c r="D12" s="73"/>
      <c r="E12" s="74"/>
      <c r="F12" s="73"/>
      <c r="G12" s="75"/>
      <c r="H12" s="76"/>
      <c r="I12" s="77">
        <f>ROUND(SUM(I8:I11),2)</f>
        <v>68.03</v>
      </c>
      <c r="J12" s="78"/>
      <c r="K12" s="79"/>
      <c r="L12" s="80">
        <f>ROUND(SUM(L8:L11),2)</f>
        <v>68.03</v>
      </c>
    </row>
    <row r="13" spans="1:19" s="4" customFormat="1" ht="27.75" customHeight="1" x14ac:dyDescent="0.2">
      <c r="A13" s="19" t="s">
        <v>69</v>
      </c>
      <c r="B13" s="30"/>
      <c r="C13" s="21">
        <v>5</v>
      </c>
      <c r="D13" s="22" t="s">
        <v>1</v>
      </c>
      <c r="E13" s="23" t="str">
        <f>REPT(E8,1)</f>
        <v>0</v>
      </c>
      <c r="F13" s="22" t="s">
        <v>13</v>
      </c>
      <c r="G13" s="89">
        <v>3</v>
      </c>
      <c r="H13" s="24">
        <f>G13-G13*E13/100</f>
        <v>3</v>
      </c>
      <c r="I13" s="68">
        <f>PRODUCT(C13,H13)</f>
        <v>15</v>
      </c>
      <c r="J13" s="119">
        <v>32</v>
      </c>
      <c r="K13" s="121" t="s">
        <v>10</v>
      </c>
      <c r="L13" s="123">
        <f>SUM(I13+I14+(J13*L7))</f>
        <v>90.82</v>
      </c>
    </row>
    <row r="14" spans="1:19" s="4" customFormat="1" ht="25.5" x14ac:dyDescent="0.2">
      <c r="A14" s="19" t="s">
        <v>84</v>
      </c>
      <c r="B14" s="31"/>
      <c r="C14" s="67">
        <v>48</v>
      </c>
      <c r="D14" s="22" t="s">
        <v>18</v>
      </c>
      <c r="E14" s="23">
        <v>0</v>
      </c>
      <c r="F14" s="22" t="s">
        <v>13</v>
      </c>
      <c r="G14" s="89">
        <v>75.819999999999993</v>
      </c>
      <c r="H14" s="24">
        <f>((G14/C14)*C14)-G14*E14/100</f>
        <v>75.819999999999993</v>
      </c>
      <c r="I14" s="68">
        <f>PRODUCT(C14*(H14/C14))</f>
        <v>75.819999999999993</v>
      </c>
      <c r="J14" s="120"/>
      <c r="K14" s="122"/>
      <c r="L14" s="124"/>
    </row>
    <row r="15" spans="1:19" s="4" customFormat="1" ht="51" x14ac:dyDescent="0.2">
      <c r="A15" s="86" t="s">
        <v>72</v>
      </c>
      <c r="B15" s="31"/>
      <c r="C15" s="21">
        <f>VLOOKUP(A15,Tabelle1!A21:C23,2,0)</f>
        <v>5.5</v>
      </c>
      <c r="D15" s="22" t="s">
        <v>1</v>
      </c>
      <c r="E15" s="23" t="str">
        <f>REPT(E8,1)</f>
        <v>0</v>
      </c>
      <c r="F15" s="22" t="s">
        <v>13</v>
      </c>
      <c r="G15" s="89">
        <f>VLOOKUP(A15,Tabelle1!A21:C23,3,0)</f>
        <v>2.73</v>
      </c>
      <c r="H15" s="24">
        <f>G15-G15*E15/100</f>
        <v>2.73</v>
      </c>
      <c r="I15" s="68">
        <f>PRODUCT(C15,H15)</f>
        <v>15.02</v>
      </c>
      <c r="J15" s="26">
        <v>25</v>
      </c>
      <c r="K15" s="27" t="s">
        <v>10</v>
      </c>
      <c r="L15" s="60">
        <f>SUM(I15+(J15*L7))</f>
        <v>15.02</v>
      </c>
    </row>
    <row r="16" spans="1:19" s="5" customFormat="1" ht="24" customHeight="1" x14ac:dyDescent="0.2">
      <c r="A16" s="81" t="s">
        <v>17</v>
      </c>
      <c r="B16" s="82"/>
      <c r="C16" s="83"/>
      <c r="D16" s="84"/>
      <c r="E16" s="74"/>
      <c r="F16" s="73"/>
      <c r="G16" s="75"/>
      <c r="H16" s="76"/>
      <c r="I16" s="77">
        <f>ROUND(SUM(I12:I15),2)</f>
        <v>173.87</v>
      </c>
      <c r="J16" s="78">
        <f>SUM(J8:J15)</f>
        <v>98</v>
      </c>
      <c r="K16" s="79" t="s">
        <v>10</v>
      </c>
      <c r="L16" s="80">
        <f>ROUND(SUM(L12:L15),2)</f>
        <v>173.87</v>
      </c>
      <c r="S16" s="118"/>
    </row>
    <row r="17" spans="1:19" s="4" customFormat="1" ht="9.9499999999999993" customHeight="1" x14ac:dyDescent="0.2">
      <c r="A17" s="32"/>
      <c r="B17" s="33"/>
      <c r="C17" s="34"/>
      <c r="D17" s="34"/>
      <c r="E17" s="35"/>
      <c r="F17" s="33"/>
      <c r="G17" s="36"/>
      <c r="H17" s="34"/>
      <c r="I17" s="34"/>
      <c r="J17" s="37"/>
      <c r="K17" s="33"/>
      <c r="L17" s="61"/>
      <c r="S17" s="118"/>
    </row>
    <row r="18" spans="1:19" s="4" customFormat="1" ht="24" customHeight="1" x14ac:dyDescent="0.2">
      <c r="A18" s="38" t="s">
        <v>3</v>
      </c>
      <c r="B18" s="39"/>
      <c r="C18" s="40"/>
      <c r="D18" s="40"/>
      <c r="E18" s="41"/>
      <c r="F18" s="42"/>
      <c r="G18" s="43"/>
      <c r="H18" s="44"/>
      <c r="I18" s="44"/>
      <c r="J18" s="45"/>
      <c r="K18" s="56"/>
      <c r="L18" s="61"/>
      <c r="S18" s="118"/>
    </row>
    <row r="19" spans="1:19" s="4" customFormat="1" ht="24" customHeight="1" x14ac:dyDescent="0.2">
      <c r="A19" s="46" t="s">
        <v>19</v>
      </c>
      <c r="B19" s="47"/>
      <c r="C19" s="48">
        <v>1</v>
      </c>
      <c r="D19" s="22" t="s">
        <v>6</v>
      </c>
      <c r="E19" s="69" t="str">
        <f>REPT(E8,1)</f>
        <v>0</v>
      </c>
      <c r="F19" s="22" t="s">
        <v>13</v>
      </c>
      <c r="G19" s="54">
        <f>IF(H6=60,5.87,IF(H6=80,6.58,IF(H6=100,8.33,IF(H6=120,10.34,IF(H6=140,11.64,IF(H6=160,13.02,IF(H6=180,14.35,IF(H6=200,15.68,"Preis ?"))))))))</f>
        <v>8.33</v>
      </c>
      <c r="H19" s="24">
        <f t="shared" ref="H19:H25" si="0">G19-G19*E19/100</f>
        <v>8.33</v>
      </c>
      <c r="I19" s="25">
        <f t="shared" ref="I19:I25" si="1">PRODUCT(C19,H19)</f>
        <v>8.33</v>
      </c>
      <c r="J19" s="45">
        <v>12</v>
      </c>
      <c r="K19" s="29" t="s">
        <v>11</v>
      </c>
      <c r="L19" s="60">
        <f>SUM(I19+(J19*L7))</f>
        <v>8.33</v>
      </c>
      <c r="S19" s="118"/>
    </row>
    <row r="20" spans="1:19" s="4" customFormat="1" ht="24" customHeight="1" x14ac:dyDescent="0.2">
      <c r="A20" s="19" t="s">
        <v>29</v>
      </c>
      <c r="B20" s="20"/>
      <c r="C20" s="48">
        <v>1</v>
      </c>
      <c r="D20" s="22" t="s">
        <v>6</v>
      </c>
      <c r="E20" s="69" t="str">
        <f>REPT(E8,1)</f>
        <v>0</v>
      </c>
      <c r="F20" s="22" t="s">
        <v>13</v>
      </c>
      <c r="G20" s="89">
        <v>2.46</v>
      </c>
      <c r="H20" s="24">
        <f t="shared" si="0"/>
        <v>2.46</v>
      </c>
      <c r="I20" s="25">
        <f t="shared" si="1"/>
        <v>2.46</v>
      </c>
      <c r="J20" s="45">
        <v>8</v>
      </c>
      <c r="K20" s="29" t="s">
        <v>11</v>
      </c>
      <c r="L20" s="60">
        <f>SUM(I20+(J20*L7))</f>
        <v>2.46</v>
      </c>
      <c r="S20" s="118"/>
    </row>
    <row r="21" spans="1:19" s="4" customFormat="1" ht="24" customHeight="1" x14ac:dyDescent="0.2">
      <c r="A21" s="86" t="s">
        <v>43</v>
      </c>
      <c r="B21" s="20"/>
      <c r="C21" s="48">
        <v>1</v>
      </c>
      <c r="D21" s="22" t="s">
        <v>6</v>
      </c>
      <c r="E21" s="69" t="str">
        <f>REPT(E8,1)</f>
        <v>0</v>
      </c>
      <c r="F21" s="22" t="s">
        <v>13</v>
      </c>
      <c r="G21" s="89">
        <f>VLOOKUP(A21,Tabelle1!A32:C36,3,0)</f>
        <v>1.84</v>
      </c>
      <c r="H21" s="24">
        <f t="shared" si="0"/>
        <v>1.84</v>
      </c>
      <c r="I21" s="25">
        <f t="shared" si="1"/>
        <v>1.84</v>
      </c>
      <c r="J21" s="45">
        <v>3</v>
      </c>
      <c r="K21" s="29" t="s">
        <v>11</v>
      </c>
      <c r="L21" s="60">
        <f>SUM(I21+(J21*L7))</f>
        <v>1.84</v>
      </c>
      <c r="S21" s="118"/>
    </row>
    <row r="22" spans="1:19" s="4" customFormat="1" ht="24" customHeight="1" x14ac:dyDescent="0.2">
      <c r="A22" s="86" t="s">
        <v>88</v>
      </c>
      <c r="B22" s="20"/>
      <c r="C22" s="48">
        <v>1</v>
      </c>
      <c r="D22" s="47" t="s">
        <v>6</v>
      </c>
      <c r="E22" s="69" t="str">
        <f>REPT(E8,1)</f>
        <v>0</v>
      </c>
      <c r="F22" s="22" t="s">
        <v>13</v>
      </c>
      <c r="G22" s="55">
        <f>VLOOKUP(A22,Tabelle1!A26:C29,3,0)</f>
        <v>5.38</v>
      </c>
      <c r="H22" s="24">
        <f t="shared" si="0"/>
        <v>5.38</v>
      </c>
      <c r="I22" s="25">
        <f t="shared" si="1"/>
        <v>5.38</v>
      </c>
      <c r="J22" s="45">
        <v>5</v>
      </c>
      <c r="K22" s="29" t="s">
        <v>11</v>
      </c>
      <c r="L22" s="62">
        <f>SUM(I22+(J22*L7))</f>
        <v>5.38</v>
      </c>
      <c r="S22" s="118"/>
    </row>
    <row r="23" spans="1:19" s="4" customFormat="1" ht="24" customHeight="1" x14ac:dyDescent="0.2">
      <c r="A23" s="66" t="s">
        <v>85</v>
      </c>
      <c r="B23" s="20"/>
      <c r="C23" s="48"/>
      <c r="D23" s="47" t="s">
        <v>23</v>
      </c>
      <c r="E23" s="69" t="str">
        <f>REPT(E8,1)</f>
        <v>0</v>
      </c>
      <c r="F23" s="22" t="s">
        <v>13</v>
      </c>
      <c r="G23" s="55">
        <v>6.9</v>
      </c>
      <c r="H23" s="24">
        <v>7.25</v>
      </c>
      <c r="I23" s="25">
        <f t="shared" si="1"/>
        <v>7.25</v>
      </c>
      <c r="J23" s="45"/>
      <c r="K23" s="29"/>
      <c r="L23" s="62">
        <f>SUM(I23+(J23*L7))</f>
        <v>7.25</v>
      </c>
    </row>
    <row r="24" spans="1:19" s="4" customFormat="1" ht="24" customHeight="1" x14ac:dyDescent="0.2">
      <c r="A24" s="66" t="s">
        <v>26</v>
      </c>
      <c r="B24" s="20"/>
      <c r="C24" s="48">
        <v>1</v>
      </c>
      <c r="D24" s="47" t="s">
        <v>6</v>
      </c>
      <c r="E24" s="69" t="str">
        <f>REPT(E8,1)</f>
        <v>0</v>
      </c>
      <c r="F24" s="22" t="s">
        <v>13</v>
      </c>
      <c r="G24" s="116">
        <v>0.33489999999999998</v>
      </c>
      <c r="H24" s="24">
        <v>0.35</v>
      </c>
      <c r="I24" s="25">
        <f t="shared" si="1"/>
        <v>0.35</v>
      </c>
      <c r="J24" s="45">
        <v>3</v>
      </c>
      <c r="K24" s="29" t="s">
        <v>11</v>
      </c>
      <c r="L24" s="62">
        <f>SUM(I24+(J24*L7))</f>
        <v>0.35</v>
      </c>
    </row>
    <row r="25" spans="1:19" s="4" customFormat="1" ht="24" customHeight="1" x14ac:dyDescent="0.2">
      <c r="A25" s="86" t="s">
        <v>87</v>
      </c>
      <c r="B25" s="20"/>
      <c r="C25" s="48">
        <v>1</v>
      </c>
      <c r="D25" s="47" t="s">
        <v>6</v>
      </c>
      <c r="E25" s="69" t="str">
        <f>REPT(E8,1)</f>
        <v>0</v>
      </c>
      <c r="F25" s="22" t="s">
        <v>13</v>
      </c>
      <c r="G25" s="55">
        <f>VLOOKUP(A25,Tabelle1!A47:C48,3,0)</f>
        <v>42.15</v>
      </c>
      <c r="H25" s="24">
        <f t="shared" si="0"/>
        <v>42.15</v>
      </c>
      <c r="I25" s="25">
        <f t="shared" si="1"/>
        <v>42.15</v>
      </c>
      <c r="J25" s="45">
        <v>8</v>
      </c>
      <c r="K25" s="29" t="s">
        <v>11</v>
      </c>
      <c r="L25" s="62">
        <f>SUM(I25+(J25*L7))</f>
        <v>42.15</v>
      </c>
    </row>
    <row r="26" spans="1:19" s="4" customFormat="1" ht="51" x14ac:dyDescent="0.2">
      <c r="A26" s="66" t="s">
        <v>28</v>
      </c>
      <c r="B26" s="20"/>
      <c r="C26" s="48">
        <v>100</v>
      </c>
      <c r="D26" s="47" t="s">
        <v>25</v>
      </c>
      <c r="E26" s="69" t="str">
        <f>REPT(E8,1)</f>
        <v>0</v>
      </c>
      <c r="F26" s="22" t="s">
        <v>13</v>
      </c>
      <c r="G26" s="55">
        <f>22.25/3.1</f>
        <v>7.18</v>
      </c>
      <c r="H26" s="24">
        <f>G26-G26*E26/100</f>
        <v>7.18</v>
      </c>
      <c r="I26" s="25">
        <f>PRODUCT((H26/310)*C26)</f>
        <v>2.3199999999999998</v>
      </c>
      <c r="J26" s="45">
        <v>8</v>
      </c>
      <c r="K26" s="29" t="s">
        <v>11</v>
      </c>
      <c r="L26" s="62">
        <f>SUM(I26+(J26*L7))</f>
        <v>2.3199999999999998</v>
      </c>
    </row>
    <row r="27" spans="1:19" s="4" customFormat="1" ht="24" customHeight="1" x14ac:dyDescent="0.2">
      <c r="A27" s="49" t="s">
        <v>27</v>
      </c>
      <c r="B27" s="146" t="s">
        <v>7</v>
      </c>
      <c r="C27" s="147"/>
      <c r="D27" s="147"/>
      <c r="E27" s="147"/>
      <c r="F27" s="147"/>
      <c r="G27" s="147"/>
      <c r="H27" s="147"/>
      <c r="I27" s="147"/>
      <c r="J27" s="147"/>
      <c r="K27" s="148"/>
      <c r="L27" s="63"/>
    </row>
    <row r="28" spans="1:19" s="4" customFormat="1" ht="29.25" customHeight="1" x14ac:dyDescent="0.2">
      <c r="A28" s="86" t="s">
        <v>32</v>
      </c>
      <c r="B28" s="88" t="s">
        <v>9</v>
      </c>
      <c r="C28" s="48">
        <v>8</v>
      </c>
      <c r="D28" s="22" t="s">
        <v>18</v>
      </c>
      <c r="E28" s="69" t="str">
        <f>REPT(E8,1)</f>
        <v>0</v>
      </c>
      <c r="F28" s="22" t="s">
        <v>13</v>
      </c>
      <c r="G28" s="90">
        <f>VLOOKUP(A28,Tabelle1!A9:C18,3,0)</f>
        <v>1.36</v>
      </c>
      <c r="H28" s="57">
        <f>G28-G28*E28/100</f>
        <v>1.36</v>
      </c>
      <c r="I28" s="87">
        <f>PRODUCT(C28,H28)</f>
        <v>10.88</v>
      </c>
      <c r="J28" s="142">
        <f>3*C28</f>
        <v>24</v>
      </c>
      <c r="K28" s="121" t="s">
        <v>10</v>
      </c>
      <c r="L28" s="123">
        <f>SUM(I28+I29+(J28*L7))</f>
        <v>12.72</v>
      </c>
    </row>
    <row r="29" spans="1:19" s="4" customFormat="1" ht="26.25" customHeight="1" x14ac:dyDescent="0.2">
      <c r="A29" s="101" t="s">
        <v>66</v>
      </c>
      <c r="B29" s="88" t="str">
        <f>VLOOKUP(A29,Tabelle1!A39:E43,5,0)</f>
        <v>z. B.</v>
      </c>
      <c r="C29" s="99">
        <v>8</v>
      </c>
      <c r="D29" s="100" t="s">
        <v>18</v>
      </c>
      <c r="E29" s="69" t="str">
        <f>REPT(E8,1)</f>
        <v>0</v>
      </c>
      <c r="F29" s="22" t="s">
        <v>13</v>
      </c>
      <c r="G29" s="102">
        <f>VLOOKUP(A29,Tabelle1!A39:C43,3,0)</f>
        <v>0.22600000000000001</v>
      </c>
      <c r="H29" s="57">
        <f>G29-G29*E29/100</f>
        <v>0.23</v>
      </c>
      <c r="I29" s="87">
        <f>PRODUCT(C29,H29)</f>
        <v>1.84</v>
      </c>
      <c r="J29" s="143"/>
      <c r="K29" s="122"/>
      <c r="L29" s="124"/>
    </row>
    <row r="30" spans="1:19" s="4" customFormat="1" ht="12.75" customHeight="1" x14ac:dyDescent="0.2">
      <c r="A30" s="104"/>
      <c r="B30" s="92"/>
      <c r="C30" s="93"/>
      <c r="D30" s="51"/>
      <c r="E30" s="109"/>
      <c r="F30" s="51"/>
      <c r="G30" s="103"/>
      <c r="H30" s="94"/>
      <c r="I30" s="95"/>
      <c r="J30" s="96"/>
      <c r="K30" s="97"/>
      <c r="L30" s="98"/>
    </row>
    <row r="31" spans="1:19" s="4" customFormat="1" ht="12.75" customHeight="1" x14ac:dyDescent="0.2">
      <c r="A31" s="104"/>
      <c r="B31" s="92"/>
      <c r="C31" s="93"/>
      <c r="D31" s="51"/>
      <c r="E31" s="109"/>
      <c r="F31" s="51"/>
      <c r="G31" s="103"/>
      <c r="H31" s="94"/>
      <c r="I31" s="95"/>
      <c r="J31" s="96"/>
      <c r="K31" s="97"/>
      <c r="L31" s="98"/>
    </row>
    <row r="32" spans="1:19" s="4" customFormat="1" ht="12.75" customHeight="1" x14ac:dyDescent="0.2">
      <c r="A32" s="104"/>
      <c r="B32" s="92"/>
      <c r="C32" s="93"/>
      <c r="D32" s="51"/>
      <c r="E32" s="109"/>
      <c r="F32" s="51"/>
      <c r="G32" s="103"/>
      <c r="H32" s="94"/>
      <c r="I32" s="95"/>
      <c r="J32" s="96"/>
      <c r="K32" s="97"/>
      <c r="L32" s="98"/>
    </row>
    <row r="33" spans="1:12" s="4" customFormat="1" ht="12.75" customHeight="1" x14ac:dyDescent="0.2">
      <c r="A33" s="105" t="s">
        <v>50</v>
      </c>
      <c r="B33" s="149"/>
      <c r="C33" s="149"/>
      <c r="D33" s="51"/>
      <c r="E33" s="106"/>
      <c r="F33" s="106"/>
      <c r="G33" s="106"/>
      <c r="H33" s="94"/>
      <c r="I33" s="95"/>
      <c r="J33" s="96"/>
      <c r="K33" s="97"/>
      <c r="L33" s="98"/>
    </row>
    <row r="34" spans="1:12" s="4" customFormat="1" ht="12.75" customHeight="1" x14ac:dyDescent="0.2">
      <c r="A34" s="105"/>
      <c r="B34" s="93"/>
      <c r="C34" s="93"/>
      <c r="D34" s="51"/>
      <c r="E34" s="106"/>
      <c r="F34" s="106"/>
      <c r="G34" s="106"/>
      <c r="H34" s="94"/>
      <c r="I34" s="95"/>
      <c r="J34" s="96"/>
      <c r="K34" s="97"/>
      <c r="L34" s="98"/>
    </row>
    <row r="35" spans="1:12" s="4" customFormat="1" ht="12.75" customHeight="1" x14ac:dyDescent="0.2">
      <c r="A35" s="107" t="s">
        <v>51</v>
      </c>
      <c r="B35" s="150">
        <v>0</v>
      </c>
      <c r="C35" s="151"/>
      <c r="D35" s="152" t="s">
        <v>2</v>
      </c>
      <c r="E35" s="153"/>
      <c r="F35" s="154">
        <f>B35*I16</f>
        <v>0</v>
      </c>
      <c r="G35" s="155"/>
      <c r="H35" s="94"/>
      <c r="I35" s="95"/>
      <c r="J35" s="96"/>
      <c r="K35" s="97"/>
      <c r="L35" s="98"/>
    </row>
    <row r="36" spans="1:12" s="4" customFormat="1" ht="12.75" customHeight="1" x14ac:dyDescent="0.2">
      <c r="A36" s="107" t="s">
        <v>52</v>
      </c>
      <c r="B36" s="150">
        <v>0</v>
      </c>
      <c r="C36" s="151"/>
      <c r="D36" s="152" t="s">
        <v>53</v>
      </c>
      <c r="E36" s="153"/>
      <c r="F36" s="154">
        <f>SUM(I22*B36)</f>
        <v>0</v>
      </c>
      <c r="G36" s="155"/>
      <c r="H36" s="94"/>
      <c r="I36" s="95"/>
      <c r="J36" s="96"/>
      <c r="K36" s="97"/>
      <c r="L36" s="98"/>
    </row>
    <row r="37" spans="1:12" s="4" customFormat="1" ht="12.75" customHeight="1" x14ac:dyDescent="0.2">
      <c r="A37" s="107" t="s">
        <v>54</v>
      </c>
      <c r="B37" s="150">
        <v>0</v>
      </c>
      <c r="C37" s="151"/>
      <c r="D37" s="152" t="s">
        <v>53</v>
      </c>
      <c r="E37" s="153"/>
      <c r="F37" s="156">
        <f>B37*I20</f>
        <v>0</v>
      </c>
      <c r="G37" s="157"/>
      <c r="H37" s="94"/>
      <c r="I37" s="95"/>
      <c r="J37" s="96"/>
      <c r="K37" s="97"/>
      <c r="L37" s="98"/>
    </row>
    <row r="38" spans="1:12" s="4" customFormat="1" ht="12.75" customHeight="1" x14ac:dyDescent="0.2">
      <c r="A38" s="108" t="s">
        <v>55</v>
      </c>
      <c r="B38" s="158">
        <v>0</v>
      </c>
      <c r="C38" s="159"/>
      <c r="D38" s="160" t="s">
        <v>53</v>
      </c>
      <c r="E38" s="161"/>
      <c r="F38" s="162">
        <f>B38*I19</f>
        <v>0</v>
      </c>
      <c r="G38" s="163"/>
      <c r="H38" s="94"/>
      <c r="I38" s="95"/>
      <c r="J38" s="96"/>
      <c r="K38" s="97"/>
      <c r="L38" s="98"/>
    </row>
    <row r="39" spans="1:12" s="4" customFormat="1" ht="12.75" customHeight="1" x14ac:dyDescent="0.2">
      <c r="A39" s="108" t="s">
        <v>56</v>
      </c>
      <c r="B39" s="158">
        <v>0</v>
      </c>
      <c r="C39" s="159"/>
      <c r="D39" s="160" t="s">
        <v>2</v>
      </c>
      <c r="E39" s="161"/>
      <c r="F39" s="162">
        <f>SUM((I29+I28)*B39)</f>
        <v>0</v>
      </c>
      <c r="G39" s="163"/>
      <c r="H39" s="94"/>
      <c r="I39" s="95"/>
      <c r="J39" s="96"/>
      <c r="K39" s="97"/>
      <c r="L39" s="98"/>
    </row>
    <row r="40" spans="1:12" s="4" customFormat="1" ht="12.75" customHeight="1" x14ac:dyDescent="0.2">
      <c r="A40" s="108" t="s">
        <v>61</v>
      </c>
      <c r="B40" s="158">
        <v>0</v>
      </c>
      <c r="C40" s="159"/>
      <c r="D40" s="160" t="s">
        <v>53</v>
      </c>
      <c r="E40" s="161"/>
      <c r="F40" s="162">
        <f>B40*I24</f>
        <v>0</v>
      </c>
      <c r="G40" s="163"/>
      <c r="H40" s="94"/>
      <c r="I40" s="95"/>
      <c r="J40" s="96"/>
      <c r="K40" s="97"/>
      <c r="L40" s="98"/>
    </row>
    <row r="41" spans="1:12" s="4" customFormat="1" ht="12.75" customHeight="1" x14ac:dyDescent="0.2">
      <c r="A41" s="108" t="s">
        <v>24</v>
      </c>
      <c r="B41" s="158">
        <v>0</v>
      </c>
      <c r="C41" s="159"/>
      <c r="D41" s="160" t="s">
        <v>53</v>
      </c>
      <c r="E41" s="161"/>
      <c r="F41" s="162">
        <f>B41*I25</f>
        <v>0</v>
      </c>
      <c r="G41" s="163"/>
      <c r="H41" s="94"/>
      <c r="I41" s="95"/>
      <c r="J41" s="96"/>
      <c r="K41" s="97"/>
      <c r="L41" s="98"/>
    </row>
    <row r="42" spans="1:12" s="4" customFormat="1" ht="12.75" customHeight="1" x14ac:dyDescent="0.2">
      <c r="A42" s="108" t="s">
        <v>60</v>
      </c>
      <c r="B42" s="158">
        <v>0</v>
      </c>
      <c r="C42" s="159"/>
      <c r="D42" s="160" t="s">
        <v>53</v>
      </c>
      <c r="E42" s="161"/>
      <c r="F42" s="164">
        <f>B42*I26</f>
        <v>0</v>
      </c>
      <c r="G42" s="164"/>
      <c r="H42" s="94"/>
      <c r="I42" s="95"/>
      <c r="J42" s="96"/>
      <c r="K42" s="97"/>
      <c r="L42" s="98"/>
    </row>
    <row r="43" spans="1:12" s="4" customFormat="1" ht="12.75" customHeight="1" x14ac:dyDescent="0.2">
      <c r="A43" s="33"/>
      <c r="B43" s="112"/>
      <c r="C43" s="112"/>
      <c r="D43" s="113"/>
      <c r="E43" s="114"/>
      <c r="F43" s="115"/>
      <c r="G43" s="115"/>
      <c r="H43" s="94"/>
      <c r="I43" s="95"/>
      <c r="J43" s="96"/>
      <c r="K43" s="97"/>
      <c r="L43" s="98"/>
    </row>
    <row r="44" spans="1:12" s="4" customFormat="1" ht="12.75" customHeight="1" x14ac:dyDescent="0.2">
      <c r="A44" s="10"/>
      <c r="B44" s="10"/>
      <c r="C44" s="6"/>
      <c r="D44" s="6"/>
      <c r="E44" s="6"/>
      <c r="F44" s="6"/>
      <c r="G44" s="6"/>
      <c r="H44" s="94"/>
      <c r="I44" s="95"/>
      <c r="J44" s="96"/>
      <c r="K44" s="97"/>
      <c r="L44" s="98"/>
    </row>
    <row r="45" spans="1:12" s="4" customFormat="1" ht="12.75" customHeight="1" x14ac:dyDescent="0.2">
      <c r="A45" s="110" t="s">
        <v>57</v>
      </c>
      <c r="B45" s="10"/>
      <c r="C45" s="6"/>
      <c r="D45" s="6"/>
      <c r="E45" s="6"/>
      <c r="F45" s="111"/>
      <c r="G45" s="111"/>
      <c r="H45" s="94"/>
      <c r="I45" s="95"/>
      <c r="J45" s="96"/>
      <c r="K45" s="97"/>
      <c r="L45" s="98"/>
    </row>
    <row r="46" spans="1:12" s="4" customFormat="1" ht="12.75" customHeight="1" x14ac:dyDescent="0.2">
      <c r="A46" s="33"/>
      <c r="B46" s="10"/>
      <c r="C46" s="6"/>
      <c r="D46" s="6"/>
      <c r="E46" s="6"/>
      <c r="F46" s="111"/>
      <c r="G46" s="111"/>
      <c r="H46" s="94"/>
      <c r="I46" s="95"/>
      <c r="J46" s="96"/>
      <c r="K46" s="97"/>
      <c r="L46" s="98"/>
    </row>
    <row r="47" spans="1:12" s="4" customFormat="1" ht="12.75" customHeight="1" x14ac:dyDescent="0.2">
      <c r="A47" s="165" t="str">
        <f>A9</f>
        <v>HECK Coverrock X-2</v>
      </c>
      <c r="B47" s="166"/>
      <c r="C47" s="166"/>
      <c r="D47" s="166"/>
      <c r="E47" s="166"/>
      <c r="F47" s="167">
        <f>SUM(B35)</f>
        <v>0</v>
      </c>
      <c r="G47" s="167"/>
      <c r="H47" s="94"/>
      <c r="I47" s="95"/>
      <c r="J47" s="96"/>
      <c r="K47" s="97"/>
      <c r="L47" s="98"/>
    </row>
    <row r="48" spans="1:12" s="4" customFormat="1" ht="12.75" customHeight="1" x14ac:dyDescent="0.2">
      <c r="A48" s="165" t="str">
        <f>A8</f>
        <v>HECK K+A grau</v>
      </c>
      <c r="B48" s="166"/>
      <c r="C48" s="166"/>
      <c r="D48" s="166"/>
      <c r="E48" s="166"/>
      <c r="F48" s="168">
        <f>VLOOKUP(A48,Tabelle1!A1:E2,5,0)</f>
        <v>0</v>
      </c>
      <c r="G48" s="168"/>
      <c r="H48" s="6" t="s">
        <v>58</v>
      </c>
      <c r="I48" s="95"/>
      <c r="J48" s="96"/>
      <c r="K48" s="97"/>
      <c r="L48" s="98"/>
    </row>
    <row r="49" spans="1:12" s="4" customFormat="1" ht="12.75" customHeight="1" x14ac:dyDescent="0.2">
      <c r="A49" s="165" t="str">
        <f>A10</f>
        <v>HECK K+A grau</v>
      </c>
      <c r="B49" s="166"/>
      <c r="C49" s="166"/>
      <c r="D49" s="166"/>
      <c r="E49" s="166"/>
      <c r="F49" s="168">
        <f>Tabelle1!E4</f>
        <v>0</v>
      </c>
      <c r="G49" s="168"/>
      <c r="H49" s="6" t="s">
        <v>59</v>
      </c>
      <c r="I49" s="95"/>
      <c r="J49" s="96"/>
      <c r="K49" s="97"/>
      <c r="L49" s="98"/>
    </row>
    <row r="50" spans="1:12" s="4" customFormat="1" ht="12.75" customHeight="1" x14ac:dyDescent="0.2">
      <c r="A50" s="169" t="s">
        <v>68</v>
      </c>
      <c r="B50" s="166"/>
      <c r="C50" s="166"/>
      <c r="D50" s="166"/>
      <c r="E50" s="166"/>
      <c r="F50" s="172">
        <f>ROUNDUP(((C11*B35)/55),0)</f>
        <v>0</v>
      </c>
      <c r="G50" s="172"/>
      <c r="H50" s="94"/>
      <c r="I50" s="95"/>
      <c r="J50" s="96"/>
      <c r="K50" s="97"/>
      <c r="L50" s="98"/>
    </row>
    <row r="51" spans="1:12" s="4" customFormat="1" ht="12.75" customHeight="1" x14ac:dyDescent="0.2">
      <c r="A51" s="165" t="s">
        <v>69</v>
      </c>
      <c r="B51" s="166"/>
      <c r="C51" s="166"/>
      <c r="D51" s="166"/>
      <c r="E51" s="166"/>
      <c r="F51" s="173">
        <f>ROUNDUP(((C13*B35)/25),0)</f>
        <v>0</v>
      </c>
      <c r="G51" s="173"/>
      <c r="H51" s="94"/>
      <c r="I51" s="95"/>
      <c r="J51" s="96"/>
      <c r="K51" s="97"/>
      <c r="L51" s="98"/>
    </row>
    <row r="52" spans="1:12" s="4" customFormat="1" ht="12.75" customHeight="1" x14ac:dyDescent="0.2">
      <c r="A52" s="165" t="str">
        <f>A15</f>
        <v>HECK FM CER SLF (Fugenmörtel Keramik Schlämmverfugung) (GFT)
Verbrauch bei 10 mm Fugenbreite und –tiefe; NF, Läuferverband</v>
      </c>
      <c r="B52" s="166"/>
      <c r="C52" s="166"/>
      <c r="D52" s="166"/>
      <c r="E52" s="166"/>
      <c r="F52" s="174">
        <f>VLOOKUP(A52,Tabelle1!A21:E23,5,0)</f>
        <v>0</v>
      </c>
      <c r="G52" s="175"/>
      <c r="H52" s="94"/>
      <c r="I52" s="95"/>
      <c r="J52" s="96"/>
      <c r="K52" s="97"/>
      <c r="L52" s="98"/>
    </row>
    <row r="53" spans="1:12" s="4" customFormat="1" ht="12.75" customHeight="1" x14ac:dyDescent="0.2">
      <c r="A53" s="169" t="s">
        <v>19</v>
      </c>
      <c r="B53" s="166"/>
      <c r="C53" s="166"/>
      <c r="D53" s="166"/>
      <c r="E53" s="166"/>
      <c r="F53" s="170">
        <f>ROUNDUP(((C19*B38)/2.5),0)</f>
        <v>0</v>
      </c>
      <c r="G53" s="171"/>
      <c r="H53" s="94"/>
      <c r="I53" s="95"/>
      <c r="J53" s="96"/>
      <c r="K53" s="97"/>
      <c r="L53" s="98"/>
    </row>
    <row r="54" spans="1:12" s="4" customFormat="1" ht="12.75" customHeight="1" x14ac:dyDescent="0.2">
      <c r="A54" s="176" t="s">
        <v>29</v>
      </c>
      <c r="B54" s="166"/>
      <c r="C54" s="166"/>
      <c r="D54" s="166"/>
      <c r="E54" s="166"/>
      <c r="F54" s="170">
        <f>ROUNDUP(((C20*B37)/2.5),0)</f>
        <v>0</v>
      </c>
      <c r="G54" s="171"/>
      <c r="H54" s="94"/>
      <c r="I54" s="95"/>
      <c r="J54" s="96"/>
      <c r="K54" s="97"/>
      <c r="L54" s="98"/>
    </row>
    <row r="55" spans="1:12" s="4" customFormat="1" ht="12.75" customHeight="1" x14ac:dyDescent="0.2">
      <c r="A55" s="176" t="str">
        <f>A21</f>
        <v>HECK Fugendichtband 14/2-6</v>
      </c>
      <c r="B55" s="166"/>
      <c r="C55" s="166"/>
      <c r="D55" s="166"/>
      <c r="E55" s="166"/>
      <c r="F55" s="177">
        <f>VLOOKUP(A55,Tabelle1!A32:F36,6,0)</f>
        <v>0</v>
      </c>
      <c r="G55" s="178"/>
      <c r="H55" s="94"/>
      <c r="I55" s="95"/>
      <c r="J55" s="96"/>
      <c r="K55" s="97"/>
      <c r="L55" s="98"/>
    </row>
    <row r="56" spans="1:12" s="4" customFormat="1" ht="12.75" customHeight="1" x14ac:dyDescent="0.2">
      <c r="A56" s="176" t="str">
        <f>A22</f>
        <v>HECK Anputzleiste Membran Giga Flex</v>
      </c>
      <c r="B56" s="166"/>
      <c r="C56" s="166"/>
      <c r="D56" s="166"/>
      <c r="E56" s="166"/>
      <c r="F56" s="170">
        <f>VLOOKUP(A56,Tabelle1!A26:E29,5,0)</f>
        <v>0</v>
      </c>
      <c r="G56" s="171"/>
      <c r="H56" s="94"/>
      <c r="I56" s="95"/>
      <c r="J56" s="96"/>
      <c r="K56" s="97"/>
      <c r="L56" s="98"/>
    </row>
    <row r="57" spans="1:12" s="4" customFormat="1" ht="12.75" customHeight="1" x14ac:dyDescent="0.2">
      <c r="A57" s="176" t="s">
        <v>26</v>
      </c>
      <c r="B57" s="176"/>
      <c r="C57" s="176"/>
      <c r="D57" s="176"/>
      <c r="E57" s="176"/>
      <c r="F57" s="183">
        <f>ROUNDUP(((C24*B40)/100),0)</f>
        <v>0</v>
      </c>
      <c r="G57" s="183"/>
      <c r="H57" s="94"/>
      <c r="I57" s="95"/>
      <c r="J57" s="96"/>
      <c r="K57" s="97"/>
      <c r="L57" s="98"/>
    </row>
    <row r="58" spans="1:12" s="4" customFormat="1" ht="12.75" customHeight="1" x14ac:dyDescent="0.2">
      <c r="A58" s="179" t="s">
        <v>24</v>
      </c>
      <c r="B58" s="180"/>
      <c r="C58" s="180"/>
      <c r="D58" s="180"/>
      <c r="E58" s="181"/>
      <c r="F58" s="184">
        <f>ROUNDUP(((C25*B41)/2.5),0)</f>
        <v>0</v>
      </c>
      <c r="G58" s="184"/>
      <c r="H58" s="94"/>
      <c r="I58" s="95"/>
      <c r="J58" s="96"/>
      <c r="K58" s="97"/>
      <c r="L58" s="98"/>
    </row>
    <row r="59" spans="1:12" s="4" customFormat="1" ht="12.75" customHeight="1" x14ac:dyDescent="0.2">
      <c r="A59" s="179" t="s">
        <v>65</v>
      </c>
      <c r="B59" s="180"/>
      <c r="C59" s="180"/>
      <c r="D59" s="180"/>
      <c r="E59" s="181"/>
      <c r="F59" s="182">
        <f>ROUNDUP((((C26*B42)/310)/20),0)</f>
        <v>0</v>
      </c>
      <c r="G59" s="182"/>
      <c r="H59" s="94"/>
      <c r="I59" s="95"/>
      <c r="J59" s="96"/>
      <c r="K59" s="97"/>
      <c r="L59" s="98"/>
    </row>
    <row r="60" spans="1:12" s="4" customFormat="1" ht="12.75" customHeight="1" x14ac:dyDescent="0.2">
      <c r="A60" s="179" t="str">
        <f>A28</f>
        <v>HECK Schraubdübel STR-U 2G 155 mm</v>
      </c>
      <c r="B60" s="180"/>
      <c r="C60" s="180"/>
      <c r="D60" s="180"/>
      <c r="E60" s="181"/>
      <c r="F60" s="182">
        <f>ROUNDUP(((C28*B39)/100),0)</f>
        <v>0</v>
      </c>
      <c r="G60" s="182"/>
      <c r="H60" s="94"/>
      <c r="I60" s="95"/>
      <c r="J60" s="96"/>
      <c r="K60" s="97"/>
      <c r="L60" s="98"/>
    </row>
    <row r="61" spans="1:12" s="4" customFormat="1" ht="12.75" customHeight="1" x14ac:dyDescent="0.2">
      <c r="A61" s="179" t="str">
        <f>A29</f>
        <v>HECK STR-Verschlusselement Steinwolle</v>
      </c>
      <c r="B61" s="180"/>
      <c r="C61" s="180"/>
      <c r="D61" s="180"/>
      <c r="E61" s="181"/>
      <c r="F61" s="182">
        <f>ROUNDUP(((C29*B39)/500),0)</f>
        <v>0</v>
      </c>
      <c r="G61" s="182"/>
      <c r="H61" s="94"/>
      <c r="I61" s="95"/>
      <c r="J61" s="96"/>
      <c r="K61" s="97"/>
      <c r="L61" s="98"/>
    </row>
    <row r="62" spans="1:12" s="4" customFormat="1" ht="12.75" customHeight="1" x14ac:dyDescent="0.2">
      <c r="A62" s="104"/>
      <c r="B62" s="92"/>
      <c r="C62" s="93"/>
      <c r="D62" s="51"/>
      <c r="E62" s="109"/>
      <c r="F62" s="51"/>
      <c r="G62" s="103"/>
      <c r="H62" s="94"/>
      <c r="I62" s="95"/>
      <c r="J62" s="96"/>
      <c r="K62" s="97"/>
      <c r="L62" s="98"/>
    </row>
    <row r="63" spans="1:12" s="4" customFormat="1" ht="12.75" customHeight="1" x14ac:dyDescent="0.2">
      <c r="A63" s="10"/>
      <c r="B63" s="10"/>
      <c r="C63" s="6"/>
      <c r="D63" s="6"/>
      <c r="E63" s="6"/>
      <c r="F63" s="6"/>
      <c r="G63" s="6"/>
      <c r="H63" s="6"/>
      <c r="I63" s="6"/>
      <c r="J63" s="6"/>
      <c r="K63" s="6"/>
    </row>
    <row r="64" spans="1:12" s="65" customFormat="1" ht="11.25" x14ac:dyDescent="0.2">
      <c r="A64" s="10" t="s">
        <v>76</v>
      </c>
      <c r="B64" s="64"/>
    </row>
    <row r="65" spans="1:2" s="65" customFormat="1" ht="11.25" x14ac:dyDescent="0.2">
      <c r="A65" s="10" t="s">
        <v>77</v>
      </c>
      <c r="B65" s="64"/>
    </row>
    <row r="66" spans="1:2" s="65" customFormat="1" ht="11.25" x14ac:dyDescent="0.2">
      <c r="A66" s="10" t="s">
        <v>78</v>
      </c>
      <c r="B66" s="64"/>
    </row>
    <row r="67" spans="1:2" s="65" customFormat="1" ht="11.25" x14ac:dyDescent="0.2">
      <c r="A67" s="10" t="s">
        <v>79</v>
      </c>
      <c r="B67" s="64"/>
    </row>
    <row r="68" spans="1:2" s="65" customFormat="1" ht="11.25" x14ac:dyDescent="0.2">
      <c r="A68" s="6" t="s">
        <v>80</v>
      </c>
      <c r="B68" s="64"/>
    </row>
    <row r="69" spans="1:2" s="65" customFormat="1" ht="11.25" x14ac:dyDescent="0.2">
      <c r="A69" s="10" t="s">
        <v>81</v>
      </c>
      <c r="B69" s="64"/>
    </row>
    <row r="70" spans="1:2" s="65" customFormat="1" ht="11.25" x14ac:dyDescent="0.2">
      <c r="A70" s="10" t="s">
        <v>82</v>
      </c>
      <c r="B70" s="64"/>
    </row>
    <row r="71" spans="1:2" s="65" customFormat="1" ht="11.25" x14ac:dyDescent="0.2">
      <c r="A71" s="10" t="s">
        <v>83</v>
      </c>
      <c r="B71" s="64"/>
    </row>
    <row r="72" spans="1:2" x14ac:dyDescent="0.2">
      <c r="B72" s="12"/>
    </row>
    <row r="73" spans="1:2" x14ac:dyDescent="0.2">
      <c r="B73" s="13"/>
    </row>
    <row r="74" spans="1:2" x14ac:dyDescent="0.2">
      <c r="B74" s="14"/>
    </row>
  </sheetData>
  <mergeCells count="77">
    <mergeCell ref="A60:E60"/>
    <mergeCell ref="F60:G60"/>
    <mergeCell ref="A61:E61"/>
    <mergeCell ref="F61:G61"/>
    <mergeCell ref="A57:E57"/>
    <mergeCell ref="F57:G57"/>
    <mergeCell ref="A58:E58"/>
    <mergeCell ref="F58:G58"/>
    <mergeCell ref="A59:E59"/>
    <mergeCell ref="F59:G59"/>
    <mergeCell ref="A54:E54"/>
    <mergeCell ref="F54:G54"/>
    <mergeCell ref="A55:E55"/>
    <mergeCell ref="F55:G55"/>
    <mergeCell ref="A56:E56"/>
    <mergeCell ref="F56:G56"/>
    <mergeCell ref="A53:E53"/>
    <mergeCell ref="F53:G53"/>
    <mergeCell ref="A50:E50"/>
    <mergeCell ref="F50:G50"/>
    <mergeCell ref="A51:E51"/>
    <mergeCell ref="F51:G51"/>
    <mergeCell ref="A52:E52"/>
    <mergeCell ref="F52:G52"/>
    <mergeCell ref="A47:E47"/>
    <mergeCell ref="F47:G47"/>
    <mergeCell ref="A48:E48"/>
    <mergeCell ref="F48:G48"/>
    <mergeCell ref="A49:E49"/>
    <mergeCell ref="F49:G49"/>
    <mergeCell ref="B41:C41"/>
    <mergeCell ref="D41:E41"/>
    <mergeCell ref="F41:G41"/>
    <mergeCell ref="B42:C42"/>
    <mergeCell ref="D42:E42"/>
    <mergeCell ref="F42:G42"/>
    <mergeCell ref="B40:C40"/>
    <mergeCell ref="D40:E40"/>
    <mergeCell ref="F40:G40"/>
    <mergeCell ref="B39:C39"/>
    <mergeCell ref="D39:E39"/>
    <mergeCell ref="F39:G39"/>
    <mergeCell ref="B37:C37"/>
    <mergeCell ref="D37:E37"/>
    <mergeCell ref="F37:G37"/>
    <mergeCell ref="B38:C38"/>
    <mergeCell ref="D38:E38"/>
    <mergeCell ref="F38:G38"/>
    <mergeCell ref="B33:C33"/>
    <mergeCell ref="B35:C35"/>
    <mergeCell ref="D35:E35"/>
    <mergeCell ref="F35:G35"/>
    <mergeCell ref="B36:C36"/>
    <mergeCell ref="D36:E36"/>
    <mergeCell ref="F36:G36"/>
    <mergeCell ref="J28:J29"/>
    <mergeCell ref="K28:K29"/>
    <mergeCell ref="L28:L29"/>
    <mergeCell ref="L13:L14"/>
    <mergeCell ref="J13:J14"/>
    <mergeCell ref="K13:K14"/>
    <mergeCell ref="B27:K27"/>
    <mergeCell ref="A6:A7"/>
    <mergeCell ref="K8:K9"/>
    <mergeCell ref="J6:K6"/>
    <mergeCell ref="B6:D6"/>
    <mergeCell ref="B7:D7"/>
    <mergeCell ref="E6:F7"/>
    <mergeCell ref="H6:I6"/>
    <mergeCell ref="G6:G7"/>
    <mergeCell ref="J8:J9"/>
    <mergeCell ref="J7:K7"/>
    <mergeCell ref="J10:J11"/>
    <mergeCell ref="K10:K11"/>
    <mergeCell ref="L8:L9"/>
    <mergeCell ref="L10:L11"/>
    <mergeCell ref="J4:K4"/>
  </mergeCells>
  <phoneticPr fontId="19" type="noConversion"/>
  <printOptions gridLinesSet="0"/>
  <pageMargins left="0.39370078740157483" right="0.78740157480314965" top="1.1811023622047245" bottom="0.70866141732283472" header="0.39370078740157483" footer="0.51181102362204722"/>
  <pageSetup paperSize="9" scale="90" orientation="portrait" horizontalDpi="4294967292" verticalDpi="360" r:id="rId1"/>
  <headerFooter alignWithMargins="0">
    <oddHeader>&amp;L&amp;"Arial,Fett"&amp;14HECK Dämmsystem Keramik&amp;10
&amp;R&amp;G</oddHeader>
  </headerFooter>
  <customProperties>
    <customPr name="_pios_id" r:id="rId2"/>
  </customProperties>
  <ignoredErrors>
    <ignoredError sqref="I17 I12 H14:I14" formula="1"/>
    <ignoredError sqref="I19 K19:L19" evalError="1"/>
  </ignoredErrors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0000000}">
          <x14:formula1>
            <xm:f>Tabelle1!$A$1:$A$2</xm:f>
          </x14:formula1>
          <xm:sqref>A8</xm:sqref>
        </x14:dataValidation>
        <x14:dataValidation type="list" allowBlank="1" showInputMessage="1" showErrorMessage="1" xr:uid="{00000000-0002-0000-0000-000002000000}">
          <x14:formula1>
            <xm:f>Tabelle1!$A$10:$A$19</xm:f>
          </x14:formula1>
          <xm:sqref>A28</xm:sqref>
        </x14:dataValidation>
        <x14:dataValidation type="list" allowBlank="1" showInputMessage="1" showErrorMessage="1" xr:uid="{00000000-0002-0000-0000-000003000000}">
          <x14:formula1>
            <xm:f>Tabelle1!$A$22:$A$24</xm:f>
          </x14:formula1>
          <xm:sqref>A15</xm:sqref>
        </x14:dataValidation>
        <x14:dataValidation type="list" allowBlank="1" showInputMessage="1" showErrorMessage="1" xr:uid="{00000000-0002-0000-0000-000004000000}">
          <x14:formula1>
            <xm:f>Tabelle1!$A$32:$A$37</xm:f>
          </x14:formula1>
          <xm:sqref>A21</xm:sqref>
        </x14:dataValidation>
        <x14:dataValidation type="list" allowBlank="1" showInputMessage="1" showErrorMessage="1" xr:uid="{00000000-0002-0000-0000-000005000000}">
          <x14:formula1>
            <xm:f>Tabelle1!$A$40:$A$44</xm:f>
          </x14:formula1>
          <xm:sqref>A29</xm:sqref>
        </x14:dataValidation>
        <x14:dataValidation type="list" allowBlank="1" showInputMessage="1" showErrorMessage="1" xr:uid="{00000000-0002-0000-0000-000006000000}">
          <x14:formula1>
            <xm:f>Tabelle1!$A$26:$A$30</xm:f>
          </x14:formula1>
          <xm:sqref>A22</xm:sqref>
        </x14:dataValidation>
        <x14:dataValidation type="list" allowBlank="1" showInputMessage="1" showErrorMessage="1" xr:uid="{E864CB32-B380-4117-BAA6-D264A406AE28}">
          <x14:formula1>
            <xm:f>Tabelle1!$A$6:$A$8</xm:f>
          </x14:formula1>
          <xm:sqref>A9</xm:sqref>
        </x14:dataValidation>
        <x14:dataValidation type="list" allowBlank="1" showInputMessage="1" showErrorMessage="1" xr:uid="{C5476717-5CED-4033-86D3-EA909C0AE263}">
          <x14:formula1>
            <xm:f>Tabelle1!$A$47:$A$48</xm:f>
          </x14:formula1>
          <xm:sqref>A25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8"/>
  <sheetViews>
    <sheetView topLeftCell="A22" workbookViewId="0">
      <selection activeCell="C45" sqref="C45"/>
    </sheetView>
  </sheetViews>
  <sheetFormatPr baseColWidth="10" defaultRowHeight="12.75" x14ac:dyDescent="0.2"/>
  <cols>
    <col min="1" max="1" width="34.85546875" bestFit="1" customWidth="1"/>
  </cols>
  <sheetData>
    <row r="1" spans="1:5" x14ac:dyDescent="0.2">
      <c r="A1" s="85" t="s">
        <v>70</v>
      </c>
      <c r="B1">
        <v>4</v>
      </c>
      <c r="C1">
        <v>1.22</v>
      </c>
      <c r="D1">
        <f>ROUNDUP((($B1*'MW-Keramik'!B35)/25),0)</f>
        <v>0</v>
      </c>
      <c r="E1">
        <f>ROUNDUP((($B1*'MW-Keramik'!$B$35)/25),0)</f>
        <v>0</v>
      </c>
    </row>
    <row r="2" spans="1:5" x14ac:dyDescent="0.2">
      <c r="A2" s="85" t="s">
        <v>21</v>
      </c>
      <c r="B2">
        <v>4</v>
      </c>
      <c r="C2">
        <v>1.33</v>
      </c>
      <c r="D2">
        <f>ROUNDUP((($B2*'MW-Keramik'!B36)/25),0)</f>
        <v>0</v>
      </c>
      <c r="E2">
        <f>ROUNDUP((($B2*'MW-Keramik'!$B$35)/25),0)</f>
        <v>0</v>
      </c>
    </row>
    <row r="3" spans="1:5" x14ac:dyDescent="0.2">
      <c r="A3" s="85"/>
    </row>
    <row r="4" spans="1:5" x14ac:dyDescent="0.2">
      <c r="A4" s="85" t="s">
        <v>21</v>
      </c>
      <c r="B4">
        <v>4</v>
      </c>
      <c r="C4">
        <v>1.33</v>
      </c>
      <c r="D4">
        <f>ROUNDUP((($B4*'MW-Keramik'!B35)/25),0)</f>
        <v>0</v>
      </c>
      <c r="E4">
        <f>ROUNDUP((($B4*'MW-Keramik'!$B$35)/25),0)</f>
        <v>0</v>
      </c>
    </row>
    <row r="6" spans="1:5" x14ac:dyDescent="0.2">
      <c r="A6" s="85" t="s">
        <v>62</v>
      </c>
      <c r="B6">
        <v>36.47</v>
      </c>
      <c r="D6">
        <v>25</v>
      </c>
    </row>
    <row r="7" spans="1:5" x14ac:dyDescent="0.2">
      <c r="A7" s="85" t="s">
        <v>63</v>
      </c>
      <c r="B7">
        <v>51</v>
      </c>
      <c r="D7">
        <v>25</v>
      </c>
    </row>
    <row r="8" spans="1:5" x14ac:dyDescent="0.2">
      <c r="A8" s="85" t="s">
        <v>74</v>
      </c>
      <c r="B8">
        <v>49.360999999999997</v>
      </c>
      <c r="D8">
        <v>25</v>
      </c>
    </row>
    <row r="10" spans="1:5" x14ac:dyDescent="0.2">
      <c r="A10" s="85" t="s">
        <v>30</v>
      </c>
      <c r="C10" s="118">
        <v>0.9</v>
      </c>
    </row>
    <row r="11" spans="1:5" x14ac:dyDescent="0.2">
      <c r="A11" s="85" t="s">
        <v>31</v>
      </c>
      <c r="C11" s="118">
        <v>1.06</v>
      </c>
    </row>
    <row r="12" spans="1:5" x14ac:dyDescent="0.2">
      <c r="A12" s="85" t="s">
        <v>32</v>
      </c>
      <c r="C12" s="118">
        <v>1.36</v>
      </c>
    </row>
    <row r="13" spans="1:5" x14ac:dyDescent="0.2">
      <c r="A13" s="85" t="s">
        <v>33</v>
      </c>
      <c r="C13" s="118">
        <v>1.6</v>
      </c>
    </row>
    <row r="14" spans="1:5" x14ac:dyDescent="0.2">
      <c r="A14" s="85" t="s">
        <v>34</v>
      </c>
      <c r="C14" s="118">
        <v>1.89</v>
      </c>
    </row>
    <row r="15" spans="1:5" x14ac:dyDescent="0.2">
      <c r="A15" s="85" t="s">
        <v>35</v>
      </c>
      <c r="C15" s="118">
        <v>2.3199999999999998</v>
      </c>
    </row>
    <row r="16" spans="1:5" x14ac:dyDescent="0.2">
      <c r="A16" s="85" t="s">
        <v>36</v>
      </c>
      <c r="C16" s="118">
        <v>2.76</v>
      </c>
    </row>
    <row r="17" spans="1:5" x14ac:dyDescent="0.2">
      <c r="A17" s="85" t="s">
        <v>37</v>
      </c>
      <c r="C17" s="118">
        <v>3.01</v>
      </c>
    </row>
    <row r="18" spans="1:5" x14ac:dyDescent="0.2">
      <c r="A18" s="85" t="s">
        <v>38</v>
      </c>
      <c r="C18" s="118">
        <v>3.44</v>
      </c>
    </row>
    <row r="19" spans="1:5" x14ac:dyDescent="0.2">
      <c r="A19" s="85" t="s">
        <v>39</v>
      </c>
      <c r="C19" s="118">
        <v>3.86</v>
      </c>
    </row>
    <row r="22" spans="1:5" ht="51" x14ac:dyDescent="0.2">
      <c r="A22" s="91" t="s">
        <v>72</v>
      </c>
      <c r="B22">
        <v>5.5</v>
      </c>
      <c r="C22">
        <v>2.73</v>
      </c>
      <c r="E22">
        <f>ROUNDUP((($B22*'MW-Keramik'!$B$35)/25),0)</f>
        <v>0</v>
      </c>
    </row>
    <row r="23" spans="1:5" ht="51" x14ac:dyDescent="0.2">
      <c r="A23" s="91" t="s">
        <v>71</v>
      </c>
      <c r="B23">
        <v>5</v>
      </c>
      <c r="C23">
        <v>2.73</v>
      </c>
      <c r="E23">
        <f>ROUNDUP((($B23*'MW-Keramik'!$B$35)/25),0)</f>
        <v>0</v>
      </c>
    </row>
    <row r="24" spans="1:5" ht="51" x14ac:dyDescent="0.2">
      <c r="A24" s="91" t="s">
        <v>73</v>
      </c>
      <c r="B24">
        <v>5.5</v>
      </c>
      <c r="C24">
        <v>2.73</v>
      </c>
      <c r="E24">
        <f>ROUNDUP((($B24*'MW-Keramik'!$B$35)/25),0)</f>
        <v>0</v>
      </c>
    </row>
    <row r="27" spans="1:5" x14ac:dyDescent="0.2">
      <c r="A27" t="s">
        <v>88</v>
      </c>
      <c r="C27">
        <v>5.38</v>
      </c>
      <c r="E27">
        <f>ROUNDUP((('MW-Keramik'!$B$36*'MW-Keramik'!$C$22)/2.6),0)</f>
        <v>0</v>
      </c>
    </row>
    <row r="28" spans="1:5" x14ac:dyDescent="0.2">
      <c r="A28" t="s">
        <v>89</v>
      </c>
      <c r="C28">
        <v>5.2</v>
      </c>
      <c r="E28">
        <f>ROUNDUP((('MW-Keramik'!$B$36*'MW-Keramik'!$C$22)/2.4),0)</f>
        <v>0</v>
      </c>
    </row>
    <row r="29" spans="1:5" x14ac:dyDescent="0.2">
      <c r="A29" t="s">
        <v>90</v>
      </c>
      <c r="C29">
        <v>11.42</v>
      </c>
      <c r="E29">
        <f>ROUNDUP((('MW-Keramik'!$B$36*'MW-Keramik'!$C$22)/2.4),0)</f>
        <v>0</v>
      </c>
    </row>
    <row r="30" spans="1:5" x14ac:dyDescent="0.2">
      <c r="A30" t="s">
        <v>40</v>
      </c>
      <c r="C30">
        <v>6.2</v>
      </c>
      <c r="E30">
        <f>ROUNDUP((('MW-Keramik'!$B$36*'MW-Keramik'!$C$22)/2.4),0)</f>
        <v>0</v>
      </c>
    </row>
    <row r="33" spans="1:6" x14ac:dyDescent="0.2">
      <c r="A33" t="s">
        <v>41</v>
      </c>
      <c r="C33">
        <v>2.82</v>
      </c>
      <c r="E33">
        <v>12</v>
      </c>
      <c r="F33">
        <f>ROUNDUP((('MW-Keramik'!$B$38*'MW-Keramik'!$C$21)/12),0)</f>
        <v>0</v>
      </c>
    </row>
    <row r="34" spans="1:6" x14ac:dyDescent="0.2">
      <c r="A34" t="s">
        <v>42</v>
      </c>
      <c r="C34">
        <v>5.0199999999999996</v>
      </c>
      <c r="E34">
        <v>8</v>
      </c>
      <c r="F34">
        <f>ROUNDUP((('MW-Keramik'!$B$38*'MW-Keramik'!$C$21)/8),0)</f>
        <v>0</v>
      </c>
    </row>
    <row r="35" spans="1:6" x14ac:dyDescent="0.2">
      <c r="A35" t="s">
        <v>43</v>
      </c>
      <c r="C35">
        <v>1.84</v>
      </c>
      <c r="E35">
        <v>18</v>
      </c>
      <c r="F35">
        <f>ROUNDUP((('MW-Keramik'!$B$38*'MW-Keramik'!$C$21)/18),0)</f>
        <v>0</v>
      </c>
    </row>
    <row r="36" spans="1:6" x14ac:dyDescent="0.2">
      <c r="A36" t="s">
        <v>22</v>
      </c>
      <c r="C36">
        <v>2.67</v>
      </c>
      <c r="E36">
        <v>12</v>
      </c>
      <c r="F36">
        <f>ROUNDUP((('MW-Keramik'!$B$38*'MW-Keramik'!$C$21)/12),0)</f>
        <v>0</v>
      </c>
    </row>
    <row r="37" spans="1:6" x14ac:dyDescent="0.2">
      <c r="A37" t="s">
        <v>44</v>
      </c>
      <c r="C37">
        <v>5.55</v>
      </c>
      <c r="E37">
        <v>9</v>
      </c>
      <c r="F37">
        <f>ROUNDUP((('MW-Keramik'!$B$38*'MW-Keramik'!$C$21)/9),0)</f>
        <v>0</v>
      </c>
    </row>
    <row r="40" spans="1:6" x14ac:dyDescent="0.2">
      <c r="A40" s="85" t="s">
        <v>45</v>
      </c>
      <c r="C40">
        <v>0</v>
      </c>
      <c r="D40">
        <v>0</v>
      </c>
      <c r="E40">
        <v>0</v>
      </c>
    </row>
    <row r="41" spans="1:6" ht="25.5" x14ac:dyDescent="0.2">
      <c r="A41" s="117" t="s">
        <v>66</v>
      </c>
      <c r="C41">
        <f>113.02/500</f>
        <v>0.22603999999999999</v>
      </c>
      <c r="D41">
        <f>ROUNDUP((('MW-Keramik'!B$39*'MW-Keramik'!C$29)/500),0)</f>
        <v>0</v>
      </c>
      <c r="E41" t="s">
        <v>9</v>
      </c>
    </row>
    <row r="42" spans="1:6" x14ac:dyDescent="0.2">
      <c r="A42" s="85" t="s">
        <v>64</v>
      </c>
      <c r="C42">
        <f>1.36+(30.11/100)</f>
        <v>1.6611</v>
      </c>
      <c r="D42">
        <f>ROUNDUP((('MW-Keramik'!B$39*'MW-Keramik'!C$29)/100),0)</f>
        <v>0</v>
      </c>
      <c r="E42" t="s">
        <v>46</v>
      </c>
    </row>
    <row r="43" spans="1:6" x14ac:dyDescent="0.2">
      <c r="A43" s="85" t="s">
        <v>48</v>
      </c>
      <c r="C43">
        <v>0.64</v>
      </c>
      <c r="D43">
        <f>ROUNDUP((('MW-Keramik'!B$39*'MW-Keramik'!C$29)/100),0)</f>
        <v>0</v>
      </c>
      <c r="E43" t="s">
        <v>47</v>
      </c>
    </row>
    <row r="44" spans="1:6" x14ac:dyDescent="0.2">
      <c r="A44" s="85" t="s">
        <v>49</v>
      </c>
      <c r="C44" s="85">
        <v>1.18</v>
      </c>
      <c r="D44">
        <f>ROUNDUP((('MW-Keramik'!B$39*'MW-Keramik'!C$29)/100),0)</f>
        <v>0</v>
      </c>
      <c r="E44" t="s">
        <v>47</v>
      </c>
    </row>
    <row r="47" spans="1:6" x14ac:dyDescent="0.2">
      <c r="A47" t="s">
        <v>86</v>
      </c>
      <c r="C47">
        <v>7.39</v>
      </c>
    </row>
    <row r="48" spans="1:6" x14ac:dyDescent="0.2">
      <c r="A48" t="s">
        <v>87</v>
      </c>
      <c r="C48">
        <v>42.15</v>
      </c>
    </row>
  </sheetData>
  <pageMargins left="0.7" right="0.7" top="0.78740157499999996" bottom="0.78740157499999996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MW-Keramik</vt:lpstr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Stefanie Huemmer (RW-D/G)</dc:creator>
  <cp:lastModifiedBy>Philipp Koch</cp:lastModifiedBy>
  <cp:lastPrinted>2021-01-07T13:58:16Z</cp:lastPrinted>
  <dcterms:created xsi:type="dcterms:W3CDTF">1998-08-14T12:07:20Z</dcterms:created>
  <dcterms:modified xsi:type="dcterms:W3CDTF">2025-01-21T13:26:52Z</dcterms:modified>
</cp:coreProperties>
</file>