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omments1.xml" ContentType="application/vnd.openxmlformats-officedocument.spreadsheetml.comments+xml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https://rockwool-my.sharepoint.com/personal/philipp_koch_wall-systems_com/Documents/Heck/Kalkulationshilfen/"/>
    </mc:Choice>
  </mc:AlternateContent>
  <xr:revisionPtr revIDLastSave="215" documentId="8_{388951B3-2DE4-46EE-A7CD-249EC2F2E850}" xr6:coauthVersionLast="47" xr6:coauthVersionMax="47" xr10:uidLastSave="{8F9456C4-73D4-4AF8-9295-0440CF02FB29}"/>
  <bookViews>
    <workbookView xWindow="28680" yWindow="-120" windowWidth="29040" windowHeight="15720" xr2:uid="{00000000-000D-0000-FFFF-FFFF00000000}"/>
  </bookViews>
  <sheets>
    <sheet name="MW-DP" sheetId="2" r:id="rId1"/>
    <sheet name="Tabelle1" sheetId="3" state="hidden" r:id="rId2"/>
  </sheet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8" i="3" l="1"/>
  <c r="C14" i="2" l="1"/>
  <c r="G23" i="2" l="1"/>
  <c r="G20" i="2"/>
  <c r="C136" i="3" l="1"/>
  <c r="C135" i="3"/>
  <c r="C8" i="3"/>
  <c r="C7" i="3"/>
  <c r="J14" i="2" l="1"/>
  <c r="D137" i="3"/>
  <c r="G27" i="2"/>
  <c r="G25" i="2"/>
  <c r="D136" i="3"/>
  <c r="A55" i="2"/>
  <c r="G26" i="2"/>
  <c r="J25" i="2"/>
  <c r="E25" i="2"/>
  <c r="H25" i="2" l="1"/>
  <c r="I25" i="2" s="1"/>
  <c r="D107" i="3" l="1"/>
  <c r="D122" i="3"/>
  <c r="D121" i="3"/>
  <c r="D29" i="3" l="1"/>
  <c r="D28" i="3"/>
  <c r="G9" i="2"/>
  <c r="F55" i="2" l="1"/>
  <c r="D135" i="3"/>
  <c r="D123" i="3"/>
  <c r="D124" i="3"/>
  <c r="D131" i="3"/>
  <c r="D129" i="3"/>
  <c r="D128" i="3"/>
  <c r="D130" i="3"/>
  <c r="D127" i="3"/>
  <c r="F45" i="2"/>
  <c r="A45" i="2"/>
  <c r="G22" i="2"/>
  <c r="G11" i="2"/>
  <c r="G10" i="2"/>
  <c r="G8" i="2"/>
  <c r="C10" i="2"/>
  <c r="C8" i="2"/>
  <c r="A51" i="2" l="1"/>
  <c r="F51" i="2" s="1"/>
  <c r="A52" i="2"/>
  <c r="F52" i="2" s="1"/>
  <c r="A54" i="2"/>
  <c r="F54" i="2" s="1"/>
  <c r="D106" i="3" l="1"/>
  <c r="D92" i="3"/>
  <c r="D93" i="3"/>
  <c r="D94" i="3"/>
  <c r="D95" i="3"/>
  <c r="D96" i="3"/>
  <c r="D97" i="3"/>
  <c r="D105" i="3" l="1"/>
  <c r="D104" i="3"/>
  <c r="D103" i="3"/>
  <c r="D102" i="3"/>
  <c r="D101" i="3"/>
  <c r="D100" i="3"/>
  <c r="D45" i="3"/>
  <c r="D44" i="3"/>
  <c r="D21" i="3"/>
  <c r="D22" i="3"/>
  <c r="D23" i="3"/>
  <c r="D24" i="3"/>
  <c r="D25" i="3"/>
  <c r="D26" i="3"/>
  <c r="D27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6" i="3"/>
  <c r="D47" i="3"/>
  <c r="D48" i="3"/>
  <c r="D49" i="3"/>
  <c r="D50" i="3"/>
  <c r="D51" i="3"/>
  <c r="D52" i="3"/>
  <c r="D53" i="3"/>
  <c r="D54" i="3"/>
  <c r="D55" i="3"/>
  <c r="D56" i="3"/>
  <c r="D57" i="3"/>
  <c r="D58" i="3"/>
  <c r="D59" i="3"/>
  <c r="D60" i="3"/>
  <c r="D61" i="3"/>
  <c r="D62" i="3"/>
  <c r="D63" i="3"/>
  <c r="D64" i="3"/>
  <c r="D65" i="3"/>
  <c r="D66" i="3"/>
  <c r="D67" i="3"/>
  <c r="D68" i="3"/>
  <c r="D69" i="3"/>
  <c r="D70" i="3"/>
  <c r="D71" i="3"/>
  <c r="D72" i="3"/>
  <c r="D73" i="3"/>
  <c r="D74" i="3"/>
  <c r="D75" i="3"/>
  <c r="D76" i="3"/>
  <c r="D77" i="3"/>
  <c r="D78" i="3"/>
  <c r="D79" i="3"/>
  <c r="D80" i="3"/>
  <c r="D81" i="3"/>
  <c r="D82" i="3"/>
  <c r="D83" i="3"/>
  <c r="D84" i="3"/>
  <c r="D85" i="3"/>
  <c r="D86" i="3"/>
  <c r="D87" i="3"/>
  <c r="D88" i="3"/>
  <c r="D89" i="3"/>
  <c r="D90" i="3"/>
  <c r="D91" i="3"/>
  <c r="D20" i="3"/>
  <c r="D14" i="3"/>
  <c r="D13" i="3"/>
  <c r="D12" i="3"/>
  <c r="D11" i="3"/>
  <c r="D10" i="3"/>
  <c r="A53" i="2"/>
  <c r="A48" i="2"/>
  <c r="A47" i="2"/>
  <c r="A46" i="2"/>
  <c r="G16" i="2"/>
  <c r="G14" i="2"/>
  <c r="G13" i="2"/>
  <c r="D4" i="3"/>
  <c r="D3" i="3"/>
  <c r="D2" i="3"/>
  <c r="D1" i="3"/>
  <c r="A44" i="2"/>
  <c r="A43" i="2"/>
  <c r="A42" i="2"/>
  <c r="F44" i="2" l="1"/>
  <c r="F48" i="2"/>
  <c r="F43" i="2"/>
  <c r="F47" i="2"/>
  <c r="H9" i="2"/>
  <c r="I9" i="2" s="1"/>
  <c r="F53" i="2"/>
  <c r="F50" i="2"/>
  <c r="F49" i="2"/>
  <c r="F46" i="2"/>
  <c r="F42" i="2"/>
  <c r="J17" i="2"/>
  <c r="E20" i="2"/>
  <c r="H20" i="2" s="1"/>
  <c r="I20" i="2" s="1"/>
  <c r="E21" i="2"/>
  <c r="H21" i="2" s="1"/>
  <c r="I21" i="2" s="1"/>
  <c r="E23" i="2"/>
  <c r="H23" i="2" s="1"/>
  <c r="I23" i="2" s="1"/>
  <c r="F34" i="2" s="1"/>
  <c r="H8" i="2"/>
  <c r="I8" i="2" s="1"/>
  <c r="E10" i="2"/>
  <c r="H10" i="2" s="1"/>
  <c r="I10" i="2" s="1"/>
  <c r="E11" i="2"/>
  <c r="H11" i="2" s="1"/>
  <c r="I11" i="2" s="1"/>
  <c r="E13" i="2"/>
  <c r="E14" i="2"/>
  <c r="E16" i="2"/>
  <c r="H16" i="2" s="1"/>
  <c r="I16" i="2" s="1"/>
  <c r="L16" i="2" s="1"/>
  <c r="E22" i="2"/>
  <c r="H22" i="2" s="1"/>
  <c r="I22" i="2" s="1"/>
  <c r="L22" i="2" s="1"/>
  <c r="L8" i="2" l="1"/>
  <c r="L10" i="2"/>
  <c r="H14" i="2"/>
  <c r="I14" i="2" s="1"/>
  <c r="L14" i="2" s="1"/>
  <c r="E27" i="2"/>
  <c r="H27" i="2" s="1"/>
  <c r="I27" i="2" s="1"/>
  <c r="H13" i="2"/>
  <c r="I13" i="2" s="1"/>
  <c r="L13" i="2" s="1"/>
  <c r="E26" i="2"/>
  <c r="H26" i="2" s="1"/>
  <c r="I26" i="2" s="1"/>
  <c r="L25" i="2" s="1"/>
  <c r="L23" i="2"/>
  <c r="L21" i="2"/>
  <c r="F35" i="2"/>
  <c r="F36" i="2"/>
  <c r="L20" i="2"/>
  <c r="I12" i="2"/>
  <c r="L12" i="2" l="1"/>
  <c r="L15" i="2" s="1"/>
  <c r="L17" i="2" s="1"/>
  <c r="I15" i="2"/>
  <c r="I17" i="2" s="1"/>
  <c r="F33" i="2" s="1"/>
  <c r="F37" i="2"/>
  <c r="F38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Thiele</author>
    <author>Stefanie Huemmer (RW-D/G)</author>
  </authors>
  <commentList>
    <comment ref="H6" authorId="0" shapeId="0" xr:uid="{00000000-0006-0000-0000-000001000000}">
      <text>
        <r>
          <rPr>
            <sz val="8"/>
            <color indexed="10"/>
            <rFont val="Tahoma"/>
            <family val="2"/>
          </rPr>
          <t xml:space="preserve">Hier bitte </t>
        </r>
        <r>
          <rPr>
            <b/>
            <sz val="8"/>
            <color indexed="10"/>
            <rFont val="Tahoma"/>
            <family val="2"/>
          </rPr>
          <t>Plattendicke in mm</t>
        </r>
        <r>
          <rPr>
            <sz val="8"/>
            <color indexed="10"/>
            <rFont val="Tahoma"/>
            <family val="2"/>
          </rPr>
          <t xml:space="preserve"> eintragen! (ohne Einheit)</t>
        </r>
      </text>
    </comment>
    <comment ref="L7" authorId="0" shapeId="0" xr:uid="{00000000-0006-0000-0000-000002000000}">
      <text>
        <r>
          <rPr>
            <sz val="8"/>
            <color indexed="10"/>
            <rFont val="Tahoma"/>
            <family val="2"/>
          </rPr>
          <t xml:space="preserve">Hier bitte die </t>
        </r>
        <r>
          <rPr>
            <b/>
            <sz val="8"/>
            <color indexed="10"/>
            <rFont val="Tahoma"/>
            <family val="2"/>
          </rPr>
          <t>Lohnkosten/min</t>
        </r>
        <r>
          <rPr>
            <sz val="8"/>
            <color indexed="10"/>
            <rFont val="Tahoma"/>
            <family val="2"/>
          </rPr>
          <t xml:space="preserve"> eintragen!</t>
        </r>
      </text>
    </comment>
    <comment ref="A8" authorId="1" shapeId="0" xr:uid="{00000000-0006-0000-0000-000003000000}">
      <text>
        <r>
          <rPr>
            <b/>
            <sz val="8"/>
            <color indexed="10"/>
            <rFont val="Tahoma"/>
            <family val="2"/>
          </rPr>
          <t>blau hinterlegte Felder =
mehrere Auswahlmöglichkeiten</t>
        </r>
      </text>
    </comment>
    <comment ref="E8" authorId="0" shapeId="0" xr:uid="{00000000-0006-0000-0000-000004000000}">
      <text>
        <r>
          <rPr>
            <sz val="8"/>
            <color indexed="10"/>
            <rFont val="Tahoma"/>
            <family val="2"/>
          </rPr>
          <t xml:space="preserve">Hier bitte </t>
        </r>
        <r>
          <rPr>
            <b/>
            <sz val="8"/>
            <color indexed="10"/>
            <rFont val="Tahoma"/>
            <family val="2"/>
          </rPr>
          <t>Rabattsatz</t>
        </r>
        <r>
          <rPr>
            <sz val="8"/>
            <color indexed="10"/>
            <rFont val="Tahoma"/>
            <family val="2"/>
          </rPr>
          <t xml:space="preserve"> eintragen! 
Dieser Rabattsatz wird in </t>
        </r>
        <r>
          <rPr>
            <b/>
            <sz val="8"/>
            <color indexed="10"/>
            <rFont val="Tahoma"/>
            <family val="2"/>
          </rPr>
          <t>alle</t>
        </r>
        <r>
          <rPr>
            <sz val="8"/>
            <color indexed="10"/>
            <rFont val="Tahoma"/>
            <family val="2"/>
          </rPr>
          <t xml:space="preserve"> Spalten übertragen.
</t>
        </r>
        <r>
          <rPr>
            <b/>
            <sz val="8"/>
            <color indexed="10"/>
            <rFont val="Tahoma"/>
            <family val="2"/>
          </rPr>
          <t>(außer Dämmplatten-Rabattspalte)</t>
        </r>
      </text>
    </comment>
    <comment ref="A25" authorId="1" shapeId="0" xr:uid="{0C04BF72-C7B9-4BBD-830B-5CDC82464947}">
      <text>
        <r>
          <rPr>
            <sz val="8"/>
            <color indexed="10"/>
            <rFont val="Tahoma"/>
            <family val="2"/>
          </rPr>
          <t>Verankerungslängen beachten!
(ca. 60 mm)</t>
        </r>
      </text>
    </comment>
  </commentList>
</comments>
</file>

<file path=xl/sharedStrings.xml><?xml version="1.0" encoding="utf-8"?>
<sst xmlns="http://schemas.openxmlformats.org/spreadsheetml/2006/main" count="225" uniqueCount="168">
  <si>
    <t>Zeitauf-wand</t>
  </si>
  <si>
    <t>kg</t>
  </si>
  <si>
    <t>m²</t>
  </si>
  <si>
    <t>l</t>
  </si>
  <si>
    <t>Preis incl. Edelputz</t>
  </si>
  <si>
    <t>Zubehör</t>
  </si>
  <si>
    <t>Preis Grundaufbau</t>
  </si>
  <si>
    <t>Dämmstärke</t>
  </si>
  <si>
    <t>m</t>
  </si>
  <si>
    <t>Bauaufsichtliche Zulassungen bitte beachten!</t>
  </si>
  <si>
    <t>Bedarf/m²                ca.</t>
  </si>
  <si>
    <t>z. B.</t>
  </si>
  <si>
    <t>/m²</t>
  </si>
  <si>
    <t>/m</t>
  </si>
  <si>
    <t>min</t>
  </si>
  <si>
    <t>%</t>
  </si>
  <si>
    <t>Rabatt-satz</t>
  </si>
  <si>
    <t>lfm</t>
  </si>
  <si>
    <t>Materialkosten</t>
  </si>
  <si>
    <t>Gesamt €</t>
  </si>
  <si>
    <t>Verdübelung</t>
  </si>
  <si>
    <t>Systempreis</t>
  </si>
  <si>
    <t>Wandfläche</t>
  </si>
  <si>
    <t>Leibungen</t>
  </si>
  <si>
    <t>Gebäudeecken</t>
  </si>
  <si>
    <t>Sockel</t>
  </si>
  <si>
    <t>St.</t>
  </si>
  <si>
    <t xml:space="preserve">Zum Erreichen der genannten Zeitwerte kann je nach Bauvorhaben/Produkt der Einsatz von Maschinentechnik erforderlich  </t>
  </si>
  <si>
    <t xml:space="preserve">sein. Die angegebenen Preise und Verbräuche sind vom Listenanwender zu überprüfen und können nicht garantiert werden.  </t>
  </si>
  <si>
    <t xml:space="preserve">Wir liefern ausschließlich auf Grundlage unserer AGB, Lieferungen/Preise ab Werk, zuzügl. ges. MwSt. Die obige Auf-  </t>
  </si>
  <si>
    <t xml:space="preserve">stellung enthält wesentliche Komponenten des Systemaufbaus, je nach Ausführungsart können Ergänzungen (z.B. </t>
  </si>
  <si>
    <t>Grundierungen, Profile etc.) erforderlich sein.</t>
  </si>
  <si>
    <t>Materialbedarf</t>
  </si>
  <si>
    <t>HECK Sockelprofil</t>
  </si>
  <si>
    <t>Lohn + Material</t>
  </si>
  <si>
    <t>HECK K+A grau</t>
  </si>
  <si>
    <t>HECK Fugendichtband 14/2-6</t>
  </si>
  <si>
    <t>HECK K+A PLUS weiß</t>
  </si>
  <si>
    <t>HECK K+A LIGHT 085</t>
  </si>
  <si>
    <t>HECK Coverrock II 035</t>
  </si>
  <si>
    <t>HECK K+A weiß</t>
  </si>
  <si>
    <t>HECK K+A ZF 70</t>
  </si>
  <si>
    <t>(Kleben)</t>
  </si>
  <si>
    <t>(Armieren)</t>
  </si>
  <si>
    <t>Netto 
€</t>
  </si>
  <si>
    <t>HECK Schraubdübel STR-U 2G 115 mm</t>
  </si>
  <si>
    <t>HECK Schraubdübel STR-U 2G 135 mm</t>
  </si>
  <si>
    <t>HECK Schraubdübel STR-U 2G 155 mm</t>
  </si>
  <si>
    <t>HECK Schraubdübel STR-U 2G 175 mm</t>
  </si>
  <si>
    <t>HECK Schraubdübel STR-U 2G 195 mm</t>
  </si>
  <si>
    <t>HECK Schraubdübel STR-U 2G 215 mm</t>
  </si>
  <si>
    <t>HECK Schraubdübel STR-U 2G 235 mm</t>
  </si>
  <si>
    <t>HECK Schraubdübel STR-U 2G 255 mm</t>
  </si>
  <si>
    <t>HECK Schraubdübel STR-U 2G 275 mm</t>
  </si>
  <si>
    <t>HECK Schraubdübel STR-U 2G 295 mm</t>
  </si>
  <si>
    <t>HECK MW</t>
  </si>
  <si>
    <t>HECK Gewebeeckwinkel PVC (100x150 mm)</t>
  </si>
  <si>
    <t>HECK K+A A1</t>
  </si>
  <si>
    <t>HECK Anputzleiste W30 Plus</t>
  </si>
  <si>
    <t>HECK Fugendichtband 20/2-6</t>
  </si>
  <si>
    <t>HECK Fugendichtband 20/4-9</t>
  </si>
  <si>
    <t>HECK Fugendichtband 14/3-9</t>
  </si>
  <si>
    <t>HECK Fugendichtband 14/5-12</t>
  </si>
  <si>
    <t>Dübelzubehör:</t>
  </si>
  <si>
    <t>HECK Dübelteller 90</t>
  </si>
  <si>
    <t>z. B. je</t>
  </si>
  <si>
    <t xml:space="preserve">z. B. </t>
  </si>
  <si>
    <t>HECK Dübelteller VT2G + HECK STR-Rondelle MW</t>
  </si>
  <si>
    <t>HECK STR-Verschlusselement Steinwolle</t>
  </si>
  <si>
    <t>HECK BK (Baukleber)</t>
  </si>
  <si>
    <t>HECK UG (Universalgrundierung) weiß</t>
  </si>
  <si>
    <t>HECK UG (Universalgrundierung) farbig (HBW 100-70)</t>
  </si>
  <si>
    <t>Rajasil EP WD (Edelputz WD) Kratzputz mittelfein weiß</t>
  </si>
  <si>
    <t>Rajasil EP WD (Edelputz WD) Kratzputz mittelfein farbig (HBW 100-70)</t>
  </si>
  <si>
    <t>Rajasil EP WD (Edelputz WD) Kratzputz mittel weiß</t>
  </si>
  <si>
    <t>Rajasil EP WD (Edelputz WD) Kratzputz mittel farbig (HBW 100-70)</t>
  </si>
  <si>
    <t>Rajasil EP WD (Edelputz WD) Kellenwurf fein weiß</t>
  </si>
  <si>
    <t>Rajasil EP WD (Edelputz WD) Kellenwurf fein farbig (HBW 100-70)</t>
  </si>
  <si>
    <t>Rajasil EP WD (Edelputz WD) Kellenwurf mittel weiß</t>
  </si>
  <si>
    <t>Rajasil EP WD (Edelputz WD) Kellenwurf mittel farbig (HBW 100-70)</t>
  </si>
  <si>
    <t>Rajasil EP WD (Edelputz WD) Kelllenwurf grob weiß</t>
  </si>
  <si>
    <t>Rajasil EP WD (Edelputz WD) Kellenwurf grob farbig (HBW 100-70)</t>
  </si>
  <si>
    <t>Rajasil EP WD (Edelputz WD) Münchner Rauputz mittel weiß</t>
  </si>
  <si>
    <t>Rajasil EP WD (Edelputz WD) Münchner Rauputz mittel farbig (HBW 100-70)</t>
  </si>
  <si>
    <t>Rajasil EP WD (Edelputz WD) Altdeutscher Putz mittel weiß</t>
  </si>
  <si>
    <t>Rajasil EP WD (Edelputz WD) Altdeutscher Putz mittel farbig (HBW 100-70)</t>
  </si>
  <si>
    <t>Rajasil EP WD (Edelputz WD) Scheibputz fein weiß</t>
  </si>
  <si>
    <t>Rajasil EP WD (Edelputz WD) Scheibputz fein farbig (HBW 100-70)</t>
  </si>
  <si>
    <t>Rajasil EP WD (Edelputz WD) Scheibputz mittelfein weiß</t>
  </si>
  <si>
    <t>Rajasil EP WD (Edelputz WD) Scheibputz mittelfein farbig (HBW 100-70)</t>
  </si>
  <si>
    <t>Rajasil EP WD (Edelputz WD) Scheibputz mittel weiß</t>
  </si>
  <si>
    <t>Rajasil EP WD (Edelputz WD) Scheibputz mittel farbig (HBW 100-70)</t>
  </si>
  <si>
    <t>Rajasil EP WD (Edelputz WD) Besenwurf weiß</t>
  </si>
  <si>
    <t>Rajasil EP WD (Edelputz WD) Besenwurf farbig (HBW 100-70)</t>
  </si>
  <si>
    <t>HECK EP WD (Edelputz WD) Kratzputz Jura weiß</t>
  </si>
  <si>
    <t>HECK EP WD (Edelputz WD) Kratzputz Jura farbig (HBW 100-70)</t>
  </si>
  <si>
    <t>HECK STR (Strukturputz) KC2 weiß</t>
  </si>
  <si>
    <t>HECK STR (Strukturputz) KC2 farbig (HBW 100-70)</t>
  </si>
  <si>
    <t>HECK STR (Strukturputz) KC3 weiß</t>
  </si>
  <si>
    <t>HECK STR (Strukturputz) KC3 farbig (HBW 100-70)</t>
  </si>
  <si>
    <t>HECK STR (Strukturputz) KC4 weiß</t>
  </si>
  <si>
    <t>HECK STR (Strukturputz) KC4 farbig (HBW 100-70)</t>
  </si>
  <si>
    <t>HECK STR (Strukturputz) R3 weiß</t>
  </si>
  <si>
    <t>HECK STR (Strukturputz) R3 farbig (HBW 100-70)</t>
  </si>
  <si>
    <t>HECK ED (Edel-Dekor) KC1,5 weiß</t>
  </si>
  <si>
    <t>HECK ED (Edel-Dekor) KC1,5 farbig (HBW 100-70)</t>
  </si>
  <si>
    <t>HECK ED (Edel-Dekor) KC2 weiß</t>
  </si>
  <si>
    <t>HECK ED (Edel-Dekor) KC3 weiß</t>
  </si>
  <si>
    <t>HECK ED (Edel-Dekor) KC3 farbig (HBW 100-70)</t>
  </si>
  <si>
    <t>HECK ED (Edel-Dekor) KC4 weiß</t>
  </si>
  <si>
    <t>HECK ED (Edel-Dekor) KC4 farbig (HBW 100-70)</t>
  </si>
  <si>
    <t>HECK ED (Edel-Dekor) R3 weiß</t>
  </si>
  <si>
    <t>HECK ED (Edel-Dekor) R3 farbig (HBW 100-70)</t>
  </si>
  <si>
    <t>HECK ED (Edel-Dekor) R4 weiß</t>
  </si>
  <si>
    <t>HECK ED (Edel-Dekor) R4 farbig (HBW 100-70)</t>
  </si>
  <si>
    <t>HECK ED (Edel-Dekor) Waschelputz fein weiß</t>
  </si>
  <si>
    <t>HECK ED (Edel-Dekor) Waschelputz fein farbig (HBW 100-70)</t>
  </si>
  <si>
    <t>HECK ED (Edel-Dekor) Waschelputz grob weiß</t>
  </si>
  <si>
    <t>HECK ED (Edel-Dekor) Waschelputz grob farbig (HBW 100-70)</t>
  </si>
  <si>
    <t>HECK SHP (Siliconharzputz) KC1 weiß</t>
  </si>
  <si>
    <t>HECK SHP (Siliconharzputz) KC1 farbig (HBW 100-70)</t>
  </si>
  <si>
    <t>HECK SHP (Siliconharzputz) KC1,5 weiß</t>
  </si>
  <si>
    <t>HECK SHP (Siliconharzputz) KC1,5 farbig (HBW 100-70)</t>
  </si>
  <si>
    <t>HECK SHP (Siliconharzputz) KC2 weiß</t>
  </si>
  <si>
    <t>HECK SHP (Siliconharzputz) KC2 farbig (HBW 100-70)</t>
  </si>
  <si>
    <t>HECK SHP (Siliconharzputz) KC3 weiß</t>
  </si>
  <si>
    <t>HECK SHP (Siliconharzputz) KC3 farbig (HBW 100-70)</t>
  </si>
  <si>
    <t>HECK SHP (Siliconharzputz) R2 weiß</t>
  </si>
  <si>
    <t>HECK SHP (Siliconharzputz) R2 farbig (HBW 100-70)</t>
  </si>
  <si>
    <t>HECK SHP (Siliconharzputz) R3 weiß</t>
  </si>
  <si>
    <t>HECK SHP (Siliconharzputz) R3 farbig (HBW 100-70)</t>
  </si>
  <si>
    <t>HECK SIP (Silikatputz) KC1 weiß</t>
  </si>
  <si>
    <t>HECK SIP (Silikatputz) KC1 farbig (HBW 100-70)</t>
  </si>
  <si>
    <t>HECK SIP (Silikatputz) KC2 weiß</t>
  </si>
  <si>
    <t>HECK SIP (Silikatputz) KC2 farbig (HBW 100-70)</t>
  </si>
  <si>
    <t>HECK SIP (Silikatputz) KC3 weiß</t>
  </si>
  <si>
    <t>HECK SIP (Silikatputz) KC3 farbig (HBW 100-70)</t>
  </si>
  <si>
    <t>HECK SIP (Silikatputz) R2 weiß</t>
  </si>
  <si>
    <t>HECK SIP (Silikatputz) R2 farbig (HBW 100-70)</t>
  </si>
  <si>
    <t>HECK SIP (Silikatputz) R3 weiß</t>
  </si>
  <si>
    <t>HECK SIP (Silikatputz) R3 farbig (HBW 100-70)</t>
  </si>
  <si>
    <t>HECK SHP 4S (Siliconharzputz 4S) KC1,5 weiß</t>
  </si>
  <si>
    <t>HECK SHP 4S (Siliconharzputz 4S) KC1,5 farbig (HBW 100-70)</t>
  </si>
  <si>
    <t>HECK SHP 4S (Siliconharzputz 4S) KC2 weiß</t>
  </si>
  <si>
    <t>HECK SHP 4S (Siliconharzputz 4S) KC2 farbig (HBW 100-70)</t>
  </si>
  <si>
    <t>HECK SHP 4S (Siliconharzputz 4S) KC3 weiß</t>
  </si>
  <si>
    <t>HECK SHP 4S (Siliconharzputz 4S) KC3 farbig (HBW 100-70)</t>
  </si>
  <si>
    <t>HECK SIF (Silikat-Fassadenfarbe) weiß</t>
  </si>
  <si>
    <t>HECK SIF (Silikat-Fassadenfarbe) farbig (HBW 100-70)</t>
  </si>
  <si>
    <t>HECK SILCO FF (Silicon-Fassadenfinish) weiß</t>
  </si>
  <si>
    <t>HECK SILCO FF (Silicon-Fassadenfinish) farbig (HBW 100-70)</t>
  </si>
  <si>
    <t>HECK FF (Fassaden-Finish) weiß</t>
  </si>
  <si>
    <t>HECK FF (Fassaden-Finish) farbig (HBW 100-70)</t>
  </si>
  <si>
    <t>HECK AGG (Armierungsgewebe fein)</t>
  </si>
  <si>
    <t>HECK AGG A1 (Armierungsgewebe A1 fein)</t>
  </si>
  <si>
    <t>HECK Coverrock X-2</t>
  </si>
  <si>
    <t>HECK ED (Edel-Dekor) KC2 farbig (HBW 100-70)</t>
  </si>
  <si>
    <t>HECK Anputzleiste mini mit Gewebe</t>
  </si>
  <si>
    <t>HECK SO-FI LIGHT farbig (HBW 69-30)</t>
  </si>
  <si>
    <t>HECK SO-FI LIGHT farbig (HBW 29-0)</t>
  </si>
  <si>
    <t xml:space="preserve">Bei den Angaben in der Tabelle handelt es sich um Richtwerte aus der "Zeitaufwand-Tabelle - Ausbau / Fassade, 5. Auflage" </t>
  </si>
  <si>
    <t>können je nach den örtlichen Gegebenheiten auch in größerem Umfang von den Richtwerten abweichen.</t>
  </si>
  <si>
    <t>vom Fachverband der Stuckateuere für Ausbau und Fassade. Die tatsächlichen Verbräuche und vor allem Zeitwerte</t>
  </si>
  <si>
    <t>Listenpreis 2025 
€</t>
  </si>
  <si>
    <t>HECK Anputzleiste Membran Giga Flex</t>
  </si>
  <si>
    <t>HECK Anputzleiste W38</t>
  </si>
  <si>
    <t>HECK K+A PLUS weiß 4 mm</t>
  </si>
  <si>
    <t>HECK K+A PLUS farbig (HBW 100-70) 4 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</si>
</sst>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_-* #,##0.00\ &quot;DM&quot;_-;\-* #,##0.00\ &quot;DM&quot;_-;_-* &quot;-&quot;??\ &quot;DM&quot;_-;_-@_-"/>
    <numFmt numFmtId="165" formatCode="0.0"/>
    <numFmt numFmtId="166" formatCode="#,##0.00\ &quot;DM&quot;"/>
    <numFmt numFmtId="167" formatCode="#,##0.00\ \€"/>
    <numFmt numFmtId="168" formatCode="0\ &quot;qm&quot;"/>
    <numFmt numFmtId="169" formatCode="0\ &quot;Sack&quot;"/>
    <numFmt numFmtId="170" formatCode="0\ &quot;Rollen&quot;"/>
    <numFmt numFmtId="171" formatCode="0\ &quot;Gebinde&quot;"/>
    <numFmt numFmtId="172" formatCode="0\ &quot;Stück&quot;"/>
    <numFmt numFmtId="173" formatCode="&quot;je&quot;\ 0\ &quot;Stück&quot;"/>
  </numFmts>
  <fonts count="24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4"/>
      <color indexed="12"/>
      <name val="Arial"/>
      <family val="2"/>
    </font>
    <font>
      <sz val="7"/>
      <name val="Arial"/>
      <family val="2"/>
    </font>
    <font>
      <u/>
      <sz val="9"/>
      <name val="Arial"/>
      <family val="2"/>
    </font>
    <font>
      <sz val="8"/>
      <color indexed="10"/>
      <name val="Tahoma"/>
      <family val="2"/>
    </font>
    <font>
      <b/>
      <sz val="8"/>
      <color indexed="10"/>
      <name val="Tahoma"/>
      <family val="2"/>
    </font>
    <font>
      <b/>
      <sz val="9.5"/>
      <name val="Arial"/>
      <family val="2"/>
    </font>
    <font>
      <sz val="9.5"/>
      <name val="Arial"/>
      <family val="2"/>
    </font>
    <font>
      <b/>
      <sz val="9.5"/>
      <color indexed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4"/>
      <color indexed="8"/>
      <name val="Arial"/>
      <family val="2"/>
    </font>
    <font>
      <sz val="8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11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186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8" fillId="0" borderId="0" xfId="0" applyFont="1"/>
    <xf numFmtId="0" fontId="8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8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14" fontId="10" fillId="0" borderId="0" xfId="0" applyNumberFormat="1" applyFont="1" applyAlignment="1">
      <alignment horizontal="left"/>
    </xf>
    <xf numFmtId="0" fontId="10" fillId="0" borderId="0" xfId="0" applyFont="1"/>
    <xf numFmtId="0" fontId="10" fillId="0" borderId="0" xfId="0" applyFont="1" applyAlignment="1">
      <alignment horizontal="left"/>
    </xf>
    <xf numFmtId="0" fontId="0" fillId="0" borderId="0" xfId="0" applyAlignment="1">
      <alignment vertical="center"/>
    </xf>
    <xf numFmtId="0" fontId="11" fillId="0" borderId="0" xfId="0" applyFont="1"/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left" vertical="center" wrapText="1"/>
    </xf>
    <xf numFmtId="0" fontId="15" fillId="0" borderId="3" xfId="0" applyFont="1" applyBorder="1" applyAlignment="1">
      <alignment horizontal="left" vertical="center" wrapText="1"/>
    </xf>
    <xf numFmtId="0" fontId="15" fillId="0" borderId="3" xfId="0" applyFont="1" applyBorder="1" applyAlignment="1">
      <alignment vertical="center"/>
    </xf>
    <xf numFmtId="0" fontId="15" fillId="0" borderId="4" xfId="0" applyFont="1" applyBorder="1" applyAlignment="1">
      <alignment horizontal="left" vertical="center"/>
    </xf>
    <xf numFmtId="0" fontId="16" fillId="2" borderId="5" xfId="0" applyFont="1" applyFill="1" applyBorder="1" applyAlignment="1">
      <alignment horizontal="right" vertical="center"/>
    </xf>
    <xf numFmtId="2" fontId="15" fillId="0" borderId="1" xfId="0" applyNumberFormat="1" applyFont="1" applyBorder="1" applyAlignment="1">
      <alignment horizontal="center" vertical="center"/>
    </xf>
    <xf numFmtId="2" fontId="15" fillId="0" borderId="2" xfId="0" applyNumberFormat="1" applyFont="1" applyBorder="1" applyAlignment="1">
      <alignment horizontal="center" vertical="center"/>
    </xf>
    <xf numFmtId="1" fontId="15" fillId="0" borderId="6" xfId="0" applyNumberFormat="1" applyFont="1" applyBorder="1" applyAlignment="1">
      <alignment horizontal="right" vertical="center"/>
    </xf>
    <xf numFmtId="1" fontId="15" fillId="0" borderId="7" xfId="0" applyNumberFormat="1" applyFont="1" applyBorder="1" applyAlignment="1">
      <alignment horizontal="left" vertical="center"/>
    </xf>
    <xf numFmtId="165" fontId="15" fillId="0" borderId="3" xfId="0" applyNumberFormat="1" applyFont="1" applyBorder="1" applyAlignment="1">
      <alignment vertical="center"/>
    </xf>
    <xf numFmtId="1" fontId="15" fillId="0" borderId="8" xfId="0" applyNumberFormat="1" applyFont="1" applyBorder="1" applyAlignment="1">
      <alignment horizontal="right" vertical="center"/>
    </xf>
    <xf numFmtId="1" fontId="15" fillId="0" borderId="9" xfId="0" applyNumberFormat="1" applyFont="1" applyBorder="1" applyAlignment="1">
      <alignment horizontal="left" vertical="center"/>
    </xf>
    <xf numFmtId="0" fontId="15" fillId="0" borderId="3" xfId="0" quotePrefix="1" applyFont="1" applyBorder="1" applyAlignment="1">
      <alignment horizontal="left" vertical="center"/>
    </xf>
    <xf numFmtId="0" fontId="15" fillId="0" borderId="3" xfId="0" quotePrefix="1" applyFont="1" applyBorder="1" applyAlignment="1">
      <alignment horizontal="left" vertical="center" wrapText="1"/>
    </xf>
    <xf numFmtId="0" fontId="15" fillId="0" borderId="10" xfId="0" applyFont="1" applyBorder="1" applyAlignment="1">
      <alignment horizontal="left"/>
    </xf>
    <xf numFmtId="0" fontId="15" fillId="0" borderId="0" xfId="0" applyFont="1" applyAlignment="1">
      <alignment horizontal="left"/>
    </xf>
    <xf numFmtId="0" fontId="15" fillId="0" borderId="0" xfId="0" applyFont="1"/>
    <xf numFmtId="0" fontId="15" fillId="0" borderId="0" xfId="0" applyFont="1" applyAlignment="1">
      <alignment horizontal="right"/>
    </xf>
    <xf numFmtId="166" fontId="15" fillId="0" borderId="0" xfId="0" applyNumberFormat="1" applyFont="1" applyAlignment="1">
      <alignment horizontal="center"/>
    </xf>
    <xf numFmtId="1" fontId="15" fillId="0" borderId="0" xfId="0" applyNumberFormat="1" applyFont="1" applyAlignment="1">
      <alignment horizontal="right"/>
    </xf>
    <xf numFmtId="0" fontId="14" fillId="0" borderId="1" xfId="0" applyFont="1" applyBorder="1" applyAlignment="1">
      <alignment horizontal="left" vertical="center"/>
    </xf>
    <xf numFmtId="0" fontId="14" fillId="0" borderId="3" xfId="0" applyFont="1" applyBorder="1" applyAlignment="1">
      <alignment horizontal="left" vertical="center"/>
    </xf>
    <xf numFmtId="0" fontId="15" fillId="0" borderId="3" xfId="0" applyFont="1" applyBorder="1" applyAlignment="1">
      <alignment horizontal="center" vertical="center"/>
    </xf>
    <xf numFmtId="0" fontId="15" fillId="0" borderId="6" xfId="0" applyFont="1" applyBorder="1" applyAlignment="1">
      <alignment horizontal="right" vertical="center"/>
    </xf>
    <xf numFmtId="0" fontId="15" fillId="0" borderId="6" xfId="0" applyFont="1" applyBorder="1" applyAlignment="1">
      <alignment horizontal="left" vertical="center"/>
    </xf>
    <xf numFmtId="166" fontId="15" fillId="0" borderId="6" xfId="0" applyNumberFormat="1" applyFont="1" applyBorder="1" applyAlignment="1">
      <alignment horizontal="center" vertical="center"/>
    </xf>
    <xf numFmtId="2" fontId="15" fillId="0" borderId="6" xfId="0" applyNumberFormat="1" applyFont="1" applyBorder="1" applyAlignment="1">
      <alignment horizontal="center" vertical="center"/>
    </xf>
    <xf numFmtId="1" fontId="15" fillId="0" borderId="3" xfId="0" applyNumberFormat="1" applyFont="1" applyBorder="1" applyAlignment="1">
      <alignment horizontal="right" vertical="center"/>
    </xf>
    <xf numFmtId="0" fontId="15" fillId="0" borderId="1" xfId="0" applyFont="1" applyBorder="1" applyAlignment="1">
      <alignment horizontal="left" vertical="center"/>
    </xf>
    <xf numFmtId="0" fontId="15" fillId="0" borderId="3" xfId="0" applyFont="1" applyBorder="1" applyAlignment="1">
      <alignment horizontal="left" vertical="center"/>
    </xf>
    <xf numFmtId="0" fontId="15" fillId="0" borderId="3" xfId="0" applyFont="1" applyBorder="1" applyAlignment="1">
      <alignment horizontal="right" vertical="center"/>
    </xf>
    <xf numFmtId="0" fontId="14" fillId="0" borderId="11" xfId="0" applyFont="1" applyBorder="1" applyAlignment="1">
      <alignment horizontal="left" vertical="center" wrapText="1"/>
    </xf>
    <xf numFmtId="0" fontId="17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9" fillId="0" borderId="0" xfId="0" applyFont="1" applyAlignment="1">
      <alignment horizontal="left"/>
    </xf>
    <xf numFmtId="0" fontId="18" fillId="0" borderId="0" xfId="0" applyFont="1" applyAlignment="1">
      <alignment vertical="center"/>
    </xf>
    <xf numFmtId="0" fontId="15" fillId="0" borderId="0" xfId="0" applyFont="1" applyAlignment="1">
      <alignment horizontal="right" vertical="center"/>
    </xf>
    <xf numFmtId="2" fontId="15" fillId="0" borderId="4" xfId="1" applyNumberFormat="1" applyFont="1" applyFill="1" applyBorder="1" applyAlignment="1">
      <alignment horizontal="center" vertical="center"/>
    </xf>
    <xf numFmtId="1" fontId="15" fillId="0" borderId="9" xfId="0" applyNumberFormat="1" applyFont="1" applyBorder="1" applyAlignment="1">
      <alignment horizontal="left" vertical="center" wrapText="1"/>
    </xf>
    <xf numFmtId="2" fontId="15" fillId="0" borderId="1" xfId="0" applyNumberFormat="1" applyFont="1" applyBorder="1" applyAlignment="1">
      <alignment horizontal="center" vertical="center" wrapText="1"/>
    </xf>
    <xf numFmtId="167" fontId="17" fillId="0" borderId="0" xfId="0" applyNumberFormat="1" applyFont="1" applyAlignment="1">
      <alignment horizontal="right"/>
    </xf>
    <xf numFmtId="0" fontId="14" fillId="0" borderId="0" xfId="0" applyFont="1" applyAlignment="1">
      <alignment horizontal="left"/>
    </xf>
    <xf numFmtId="172" fontId="18" fillId="0" borderId="0" xfId="0" applyNumberFormat="1" applyFont="1"/>
    <xf numFmtId="0" fontId="15" fillId="0" borderId="12" xfId="0" applyFont="1" applyBorder="1" applyAlignment="1">
      <alignment horizontal="left"/>
    </xf>
    <xf numFmtId="0" fontId="15" fillId="0" borderId="12" xfId="0" applyFont="1" applyBorder="1" applyAlignment="1">
      <alignment horizontal="left" vertical="center"/>
    </xf>
    <xf numFmtId="0" fontId="14" fillId="0" borderId="13" xfId="0" applyFont="1" applyBorder="1" applyAlignment="1">
      <alignment horizontal="center" vertical="center" wrapText="1"/>
    </xf>
    <xf numFmtId="167" fontId="16" fillId="2" borderId="14" xfId="1" applyNumberFormat="1" applyFont="1" applyFill="1" applyBorder="1" applyAlignment="1">
      <alignment horizontal="center" vertical="center"/>
    </xf>
    <xf numFmtId="167" fontId="15" fillId="0" borderId="15" xfId="1" applyNumberFormat="1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167" fontId="15" fillId="0" borderId="14" xfId="1" applyNumberFormat="1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0" fontId="20" fillId="0" borderId="0" xfId="0" applyFont="1" applyAlignment="1">
      <alignment horizontal="left"/>
    </xf>
    <xf numFmtId="0" fontId="20" fillId="0" borderId="0" xfId="0" applyFont="1"/>
    <xf numFmtId="0" fontId="2" fillId="0" borderId="0" xfId="0" applyFont="1"/>
    <xf numFmtId="2" fontId="0" fillId="0" borderId="0" xfId="0" applyNumberFormat="1"/>
    <xf numFmtId="1" fontId="0" fillId="0" borderId="0" xfId="0" applyNumberFormat="1"/>
    <xf numFmtId="0" fontId="14" fillId="3" borderId="1" xfId="0" applyFont="1" applyFill="1" applyBorder="1" applyAlignment="1">
      <alignment horizontal="left" vertical="center"/>
    </xf>
    <xf numFmtId="0" fontId="14" fillId="3" borderId="3" xfId="0" applyFont="1" applyFill="1" applyBorder="1" applyAlignment="1">
      <alignment horizontal="left" vertical="center"/>
    </xf>
    <xf numFmtId="0" fontId="14" fillId="3" borderId="3" xfId="0" applyFont="1" applyFill="1" applyBorder="1" applyAlignment="1">
      <alignment vertical="center"/>
    </xf>
    <xf numFmtId="0" fontId="14" fillId="3" borderId="4" xfId="0" applyFont="1" applyFill="1" applyBorder="1" applyAlignment="1">
      <alignment horizontal="left" vertical="center"/>
    </xf>
    <xf numFmtId="0" fontId="14" fillId="3" borderId="5" xfId="0" applyFont="1" applyFill="1" applyBorder="1" applyAlignment="1">
      <alignment horizontal="right" vertical="center"/>
    </xf>
    <xf numFmtId="2" fontId="14" fillId="3" borderId="4" xfId="1" applyNumberFormat="1" applyFont="1" applyFill="1" applyBorder="1" applyAlignment="1">
      <alignment horizontal="center" vertical="center"/>
    </xf>
    <xf numFmtId="2" fontId="14" fillId="3" borderId="1" xfId="0" applyNumberFormat="1" applyFont="1" applyFill="1" applyBorder="1" applyAlignment="1">
      <alignment horizontal="center" vertical="center"/>
    </xf>
    <xf numFmtId="2" fontId="14" fillId="3" borderId="2" xfId="0" applyNumberFormat="1" applyFont="1" applyFill="1" applyBorder="1" applyAlignment="1">
      <alignment horizontal="center" vertical="center"/>
    </xf>
    <xf numFmtId="1" fontId="14" fillId="3" borderId="3" xfId="0" applyNumberFormat="1" applyFont="1" applyFill="1" applyBorder="1" applyAlignment="1">
      <alignment horizontal="right" vertical="center"/>
    </xf>
    <xf numFmtId="1" fontId="14" fillId="3" borderId="9" xfId="0" applyNumberFormat="1" applyFont="1" applyFill="1" applyBorder="1" applyAlignment="1">
      <alignment horizontal="left" vertical="center"/>
    </xf>
    <xf numFmtId="167" fontId="14" fillId="3" borderId="14" xfId="1" applyNumberFormat="1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left" vertical="center" wrapText="1"/>
    </xf>
    <xf numFmtId="0" fontId="14" fillId="3" borderId="3" xfId="0" applyFont="1" applyFill="1" applyBorder="1" applyAlignment="1">
      <alignment horizontal="left" vertical="center" wrapText="1"/>
    </xf>
    <xf numFmtId="0" fontId="14" fillId="3" borderId="3" xfId="0" applyFont="1" applyFill="1" applyBorder="1" applyAlignment="1">
      <alignment horizontal="center" vertical="center"/>
    </xf>
    <xf numFmtId="0" fontId="14" fillId="3" borderId="4" xfId="0" applyFont="1" applyFill="1" applyBorder="1" applyAlignment="1">
      <alignment horizontal="center" vertical="center"/>
    </xf>
    <xf numFmtId="0" fontId="15" fillId="4" borderId="1" xfId="0" applyFont="1" applyFill="1" applyBorder="1" applyAlignment="1">
      <alignment horizontal="left" vertical="center" wrapText="1"/>
    </xf>
    <xf numFmtId="0" fontId="15" fillId="0" borderId="5" xfId="0" applyFont="1" applyBorder="1" applyAlignment="1">
      <alignment horizontal="right" vertical="center" wrapText="1"/>
    </xf>
    <xf numFmtId="2" fontId="15" fillId="0" borderId="4" xfId="1" applyNumberFormat="1" applyFont="1" applyBorder="1" applyAlignment="1">
      <alignment horizontal="center" vertical="center"/>
    </xf>
    <xf numFmtId="2" fontId="15" fillId="0" borderId="3" xfId="1" applyNumberFormat="1" applyFont="1" applyBorder="1" applyAlignment="1">
      <alignment horizontal="center" vertical="center"/>
    </xf>
    <xf numFmtId="2" fontId="15" fillId="0" borderId="2" xfId="1" applyNumberFormat="1" applyFont="1" applyFill="1" applyBorder="1" applyAlignment="1">
      <alignment horizontal="center" vertical="center"/>
    </xf>
    <xf numFmtId="49" fontId="21" fillId="0" borderId="0" xfId="0" applyNumberFormat="1" applyFont="1" applyAlignment="1">
      <alignment vertical="center" wrapText="1"/>
    </xf>
    <xf numFmtId="2" fontId="22" fillId="0" borderId="0" xfId="0" applyNumberFormat="1" applyFont="1"/>
    <xf numFmtId="2" fontId="15" fillId="0" borderId="12" xfId="0" applyNumberFormat="1" applyFont="1" applyBorder="1" applyAlignment="1">
      <alignment horizontal="center" vertical="center"/>
    </xf>
    <xf numFmtId="0" fontId="15" fillId="0" borderId="36" xfId="0" applyFont="1" applyBorder="1" applyAlignment="1">
      <alignment horizontal="right" vertical="center" wrapText="1"/>
    </xf>
    <xf numFmtId="0" fontId="15" fillId="0" borderId="37" xfId="0" applyFont="1" applyBorder="1" applyAlignment="1">
      <alignment horizontal="right" vertical="center"/>
    </xf>
    <xf numFmtId="0" fontId="15" fillId="0" borderId="38" xfId="0" applyFont="1" applyBorder="1" applyAlignment="1">
      <alignment horizontal="left" vertical="center"/>
    </xf>
    <xf numFmtId="0" fontId="16" fillId="2" borderId="36" xfId="0" applyFont="1" applyFill="1" applyBorder="1" applyAlignment="1">
      <alignment horizontal="right" vertical="center"/>
    </xf>
    <xf numFmtId="2" fontId="15" fillId="0" borderId="38" xfId="1" applyNumberFormat="1" applyFont="1" applyBorder="1" applyAlignment="1">
      <alignment horizontal="center" vertical="center"/>
    </xf>
    <xf numFmtId="2" fontId="15" fillId="0" borderId="35" xfId="0" applyNumberFormat="1" applyFont="1" applyBorder="1" applyAlignment="1">
      <alignment horizontal="center" vertical="center"/>
    </xf>
    <xf numFmtId="2" fontId="15" fillId="0" borderId="39" xfId="0" applyNumberFormat="1" applyFont="1" applyBorder="1" applyAlignment="1">
      <alignment horizontal="center" vertical="center"/>
    </xf>
    <xf numFmtId="0" fontId="15" fillId="0" borderId="0" xfId="0" applyFont="1" applyAlignment="1">
      <alignment horizontal="left" vertical="center" wrapText="1"/>
    </xf>
    <xf numFmtId="0" fontId="15" fillId="0" borderId="0" xfId="0" applyFont="1" applyAlignment="1">
      <alignment horizontal="right" vertical="center" wrapText="1"/>
    </xf>
    <xf numFmtId="2" fontId="15" fillId="0" borderId="0" xfId="1" applyNumberFormat="1" applyFont="1" applyBorder="1" applyAlignment="1">
      <alignment horizontal="center" vertical="center"/>
    </xf>
    <xf numFmtId="2" fontId="15" fillId="0" borderId="0" xfId="0" applyNumberFormat="1" applyFont="1" applyAlignment="1">
      <alignment horizontal="center" vertical="center"/>
    </xf>
    <xf numFmtId="1" fontId="15" fillId="0" borderId="0" xfId="0" applyNumberFormat="1" applyFont="1" applyAlignment="1">
      <alignment horizontal="right" vertical="center"/>
    </xf>
    <xf numFmtId="1" fontId="15" fillId="0" borderId="0" xfId="0" applyNumberFormat="1" applyFont="1" applyAlignment="1">
      <alignment horizontal="left" vertical="center"/>
    </xf>
    <xf numFmtId="167" fontId="15" fillId="0" borderId="0" xfId="1" applyNumberFormat="1" applyFont="1" applyBorder="1" applyAlignment="1">
      <alignment horizontal="center" vertical="center"/>
    </xf>
    <xf numFmtId="0" fontId="15" fillId="4" borderId="35" xfId="0" applyFont="1" applyFill="1" applyBorder="1" applyAlignment="1">
      <alignment horizontal="left" vertical="center" wrapText="1"/>
    </xf>
    <xf numFmtId="2" fontId="8" fillId="0" borderId="5" xfId="0" applyNumberFormat="1" applyFont="1" applyBorder="1" applyAlignment="1">
      <alignment horizontal="right"/>
    </xf>
    <xf numFmtId="2" fontId="8" fillId="0" borderId="3" xfId="0" applyNumberFormat="1" applyFont="1" applyBorder="1" applyAlignment="1">
      <alignment horizontal="right"/>
    </xf>
    <xf numFmtId="167" fontId="7" fillId="0" borderId="17" xfId="1" applyNumberFormat="1" applyFont="1" applyBorder="1" applyAlignment="1">
      <alignment horizontal="right"/>
    </xf>
    <xf numFmtId="167" fontId="7" fillId="0" borderId="18" xfId="1" applyNumberFormat="1" applyFont="1" applyBorder="1" applyAlignment="1">
      <alignment horizontal="right"/>
    </xf>
    <xf numFmtId="167" fontId="17" fillId="0" borderId="5" xfId="0" applyNumberFormat="1" applyFont="1" applyBorder="1" applyAlignment="1">
      <alignment horizontal="right"/>
    </xf>
    <xf numFmtId="167" fontId="17" fillId="0" borderId="4" xfId="0" applyNumberFormat="1" applyFont="1" applyBorder="1" applyAlignment="1">
      <alignment horizontal="right"/>
    </xf>
    <xf numFmtId="167" fontId="15" fillId="0" borderId="15" xfId="1" applyNumberFormat="1" applyFont="1" applyBorder="1" applyAlignment="1">
      <alignment horizontal="center" vertical="center"/>
    </xf>
    <xf numFmtId="167" fontId="15" fillId="0" borderId="16" xfId="1" applyNumberFormat="1" applyFont="1" applyBorder="1" applyAlignment="1">
      <alignment horizontal="center" vertical="center"/>
    </xf>
    <xf numFmtId="167" fontId="15" fillId="0" borderId="42" xfId="1" applyNumberFormat="1" applyFont="1" applyBorder="1" applyAlignment="1">
      <alignment horizontal="center" vertical="center"/>
    </xf>
    <xf numFmtId="167" fontId="15" fillId="0" borderId="43" xfId="1" applyNumberFormat="1" applyFont="1" applyBorder="1" applyAlignment="1">
      <alignment horizontal="center" vertical="center"/>
    </xf>
    <xf numFmtId="2" fontId="8" fillId="0" borderId="3" xfId="0" applyNumberFormat="1" applyFont="1" applyBorder="1" applyAlignment="1">
      <alignment horizontal="center"/>
    </xf>
    <xf numFmtId="0" fontId="0" fillId="0" borderId="4" xfId="0" applyBorder="1" applyAlignment="1">
      <alignment horizontal="center"/>
    </xf>
    <xf numFmtId="2" fontId="8" fillId="0" borderId="3" xfId="0" applyNumberFormat="1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5" fillId="0" borderId="12" xfId="0" applyFont="1" applyBorder="1" applyAlignment="1">
      <alignment horizontal="left" vertical="center"/>
    </xf>
    <xf numFmtId="173" fontId="18" fillId="0" borderId="12" xfId="0" applyNumberFormat="1" applyFont="1" applyBorder="1"/>
    <xf numFmtId="14" fontId="15" fillId="0" borderId="12" xfId="0" applyNumberFormat="1" applyFont="1" applyBorder="1" applyAlignment="1">
      <alignment horizontal="left"/>
    </xf>
    <xf numFmtId="0" fontId="0" fillId="0" borderId="12" xfId="0" applyBorder="1"/>
    <xf numFmtId="171" fontId="18" fillId="0" borderId="5" xfId="0" applyNumberFormat="1" applyFont="1" applyBorder="1"/>
    <xf numFmtId="171" fontId="18" fillId="0" borderId="4" xfId="0" applyNumberFormat="1" applyFont="1" applyBorder="1"/>
    <xf numFmtId="0" fontId="15" fillId="0" borderId="12" xfId="0" applyFont="1" applyBorder="1" applyAlignment="1">
      <alignment horizontal="left"/>
    </xf>
    <xf numFmtId="2" fontId="8" fillId="0" borderId="5" xfId="0" applyNumberFormat="1" applyFont="1" applyBorder="1" applyAlignment="1">
      <alignment horizontal="right" vertical="center"/>
    </xf>
    <xf numFmtId="2" fontId="8" fillId="0" borderId="3" xfId="0" applyNumberFormat="1" applyFont="1" applyBorder="1" applyAlignment="1">
      <alignment horizontal="right" vertical="center"/>
    </xf>
    <xf numFmtId="0" fontId="15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14" fillId="3" borderId="20" xfId="0" applyFont="1" applyFill="1" applyBorder="1" applyAlignment="1">
      <alignment horizontal="left" vertical="center" wrapText="1"/>
    </xf>
    <xf numFmtId="0" fontId="14" fillId="3" borderId="11" xfId="0" applyFont="1" applyFill="1" applyBorder="1" applyAlignment="1">
      <alignment horizontal="left" vertical="center" wrapText="1"/>
    </xf>
    <xf numFmtId="1" fontId="15" fillId="0" borderId="7" xfId="0" applyNumberFormat="1" applyFont="1" applyBorder="1" applyAlignment="1">
      <alignment horizontal="left" vertical="center"/>
    </xf>
    <xf numFmtId="1" fontId="15" fillId="0" borderId="21" xfId="0" applyNumberFormat="1" applyFont="1" applyBorder="1" applyAlignment="1">
      <alignment horizontal="left" vertical="center"/>
    </xf>
    <xf numFmtId="0" fontId="14" fillId="0" borderId="22" xfId="0" applyFont="1" applyBorder="1" applyAlignment="1">
      <alignment horizontal="center" vertical="center" wrapText="1"/>
    </xf>
    <xf numFmtId="0" fontId="14" fillId="0" borderId="23" xfId="0" applyFont="1" applyBorder="1" applyAlignment="1">
      <alignment horizontal="center" vertical="center" wrapText="1"/>
    </xf>
    <xf numFmtId="0" fontId="14" fillId="0" borderId="24" xfId="0" applyFont="1" applyBorder="1" applyAlignment="1">
      <alignment horizontal="center" vertical="center" wrapText="1"/>
    </xf>
    <xf numFmtId="0" fontId="14" fillId="0" borderId="25" xfId="0" applyFont="1" applyBorder="1" applyAlignment="1">
      <alignment horizontal="center" vertical="center" wrapText="1"/>
    </xf>
    <xf numFmtId="0" fontId="14" fillId="0" borderId="26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4" fillId="0" borderId="27" xfId="0" applyFont="1" applyBorder="1" applyAlignment="1">
      <alignment horizontal="center" vertical="center" wrapText="1"/>
    </xf>
    <xf numFmtId="0" fontId="14" fillId="0" borderId="19" xfId="0" applyFont="1" applyBorder="1" applyAlignment="1">
      <alignment horizontal="center" vertical="center" wrapText="1"/>
    </xf>
    <xf numFmtId="2" fontId="15" fillId="0" borderId="5" xfId="0" applyNumberFormat="1" applyFont="1" applyBorder="1" applyAlignment="1">
      <alignment horizontal="center" vertical="center"/>
    </xf>
    <xf numFmtId="2" fontId="15" fillId="0" borderId="3" xfId="0" applyNumberFormat="1" applyFont="1" applyBorder="1" applyAlignment="1">
      <alignment horizontal="center" vertical="center"/>
    </xf>
    <xf numFmtId="2" fontId="15" fillId="0" borderId="9" xfId="0" applyNumberFormat="1" applyFont="1" applyBorder="1" applyAlignment="1">
      <alignment horizontal="center" vertical="center"/>
    </xf>
    <xf numFmtId="0" fontId="14" fillId="2" borderId="28" xfId="0" applyFont="1" applyFill="1" applyBorder="1" applyAlignment="1">
      <alignment horizontal="center" vertical="center"/>
    </xf>
    <xf numFmtId="0" fontId="14" fillId="2" borderId="23" xfId="0" applyFont="1" applyFill="1" applyBorder="1" applyAlignment="1">
      <alignment horizontal="center" vertical="center"/>
    </xf>
    <xf numFmtId="0" fontId="14" fillId="0" borderId="29" xfId="0" applyFont="1" applyBorder="1" applyAlignment="1">
      <alignment horizontal="center" vertical="center" wrapText="1"/>
    </xf>
    <xf numFmtId="0" fontId="14" fillId="0" borderId="30" xfId="0" applyFont="1" applyBorder="1" applyAlignment="1">
      <alignment horizontal="center" vertical="center" wrapText="1"/>
    </xf>
    <xf numFmtId="1" fontId="15" fillId="0" borderId="6" xfId="0" applyNumberFormat="1" applyFont="1" applyBorder="1" applyAlignment="1">
      <alignment horizontal="right" vertical="center"/>
    </xf>
    <xf numFmtId="1" fontId="15" fillId="0" borderId="31" xfId="0" applyNumberFormat="1" applyFont="1" applyBorder="1" applyAlignment="1">
      <alignment horizontal="right" vertical="center"/>
    </xf>
    <xf numFmtId="0" fontId="15" fillId="0" borderId="8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1" fontId="15" fillId="0" borderId="32" xfId="0" applyNumberFormat="1" applyFont="1" applyBorder="1" applyAlignment="1">
      <alignment horizontal="right" vertical="center"/>
    </xf>
    <xf numFmtId="1" fontId="15" fillId="0" borderId="33" xfId="0" applyNumberFormat="1" applyFont="1" applyBorder="1" applyAlignment="1">
      <alignment horizontal="right" vertical="center"/>
    </xf>
    <xf numFmtId="168" fontId="18" fillId="0" borderId="12" xfId="0" applyNumberFormat="1" applyFont="1" applyBorder="1" applyAlignment="1">
      <alignment horizontal="right"/>
    </xf>
    <xf numFmtId="169" fontId="18" fillId="0" borderId="12" xfId="0" applyNumberFormat="1" applyFont="1" applyBorder="1" applyAlignment="1">
      <alignment horizontal="right"/>
    </xf>
    <xf numFmtId="170" fontId="18" fillId="0" borderId="12" xfId="0" applyNumberFormat="1" applyFont="1" applyBorder="1"/>
    <xf numFmtId="171" fontId="18" fillId="0" borderId="12" xfId="0" applyNumberFormat="1" applyFont="1" applyBorder="1"/>
    <xf numFmtId="171" fontId="18" fillId="0" borderId="12" xfId="0" applyNumberFormat="1" applyFont="1" applyBorder="1" applyAlignment="1">
      <alignment horizontal="right"/>
    </xf>
    <xf numFmtId="1" fontId="15" fillId="0" borderId="10" xfId="0" applyNumberFormat="1" applyFont="1" applyBorder="1" applyAlignment="1">
      <alignment horizontal="right" vertical="center"/>
    </xf>
    <xf numFmtId="1" fontId="15" fillId="0" borderId="40" xfId="0" applyNumberFormat="1" applyFont="1" applyBorder="1" applyAlignment="1">
      <alignment horizontal="right" vertical="center"/>
    </xf>
    <xf numFmtId="1" fontId="15" fillId="0" borderId="34" xfId="0" applyNumberFormat="1" applyFont="1" applyBorder="1" applyAlignment="1">
      <alignment horizontal="left" vertical="center"/>
    </xf>
    <xf numFmtId="1" fontId="15" fillId="0" borderId="41" xfId="0" applyNumberFormat="1" applyFont="1" applyBorder="1" applyAlignment="1">
      <alignment horizontal="left" vertical="center"/>
    </xf>
    <xf numFmtId="172" fontId="2" fillId="0" borderId="5" xfId="0" applyNumberFormat="1" applyFont="1" applyBorder="1"/>
    <xf numFmtId="172" fontId="2" fillId="0" borderId="4" xfId="0" applyNumberFormat="1" applyFont="1" applyBorder="1"/>
    <xf numFmtId="172" fontId="18" fillId="0" borderId="5" xfId="0" applyNumberFormat="1" applyFont="1" applyBorder="1"/>
    <xf numFmtId="172" fontId="18" fillId="0" borderId="4" xfId="0" applyNumberFormat="1" applyFont="1" applyBorder="1"/>
    <xf numFmtId="170" fontId="18" fillId="0" borderId="5" xfId="0" applyNumberFormat="1" applyFont="1" applyBorder="1"/>
    <xf numFmtId="170" fontId="18" fillId="0" borderId="4" xfId="0" applyNumberFormat="1" applyFont="1" applyBorder="1"/>
    <xf numFmtId="167" fontId="7" fillId="0" borderId="5" xfId="1" applyNumberFormat="1" applyFont="1" applyBorder="1" applyAlignment="1">
      <alignment horizontal="right" vertical="center"/>
    </xf>
    <xf numFmtId="167" fontId="7" fillId="0" borderId="4" xfId="1" applyNumberFormat="1" applyFont="1" applyBorder="1" applyAlignment="1">
      <alignment horizontal="right" vertical="center"/>
    </xf>
    <xf numFmtId="49" fontId="23" fillId="0" borderId="0" xfId="0" applyNumberFormat="1" applyFont="1" applyAlignment="1">
      <alignment vertical="center" wrapText="1"/>
    </xf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D0000" mc:Ignorable="a14" a14:legacySpreadsheetColorIndex="13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wrap="none" lIns="18288" tIns="0" rIns="0" bIns="0" upright="1">
        <a:spAutoFit/>
      </a:bodyPr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D0000" mc:Ignorable="a14" a14:legacySpreadsheetColorIndex="13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wrap="none" lIns="18288" tIns="0" rIns="0" bIns="0" upright="1">
        <a:spAutoFit/>
      </a:bodyPr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65"/>
  <sheetViews>
    <sheetView showGridLines="0" tabSelected="1" workbookViewId="0">
      <selection activeCell="P20" sqref="P20"/>
    </sheetView>
  </sheetViews>
  <sheetFormatPr baseColWidth="10" defaultRowHeight="12.75" x14ac:dyDescent="0.2"/>
  <cols>
    <col min="1" max="1" width="30.28515625" style="11" customWidth="1"/>
    <col min="2" max="2" width="7.7109375" style="11" customWidth="1"/>
    <col min="3" max="3" width="4.7109375" customWidth="1"/>
    <col min="4" max="4" width="4.28515625" customWidth="1"/>
    <col min="5" max="6" width="3.7109375" customWidth="1"/>
    <col min="7" max="7" width="10.7109375" customWidth="1"/>
    <col min="8" max="9" width="7.7109375" customWidth="1"/>
    <col min="10" max="11" width="4.7109375" customWidth="1"/>
    <col min="12" max="12" width="12.7109375" customWidth="1"/>
    <col min="13" max="13" width="5.85546875" customWidth="1"/>
    <col min="14" max="14" width="6.42578125" customWidth="1"/>
  </cols>
  <sheetData>
    <row r="1" spans="1:20" s="3" customFormat="1" ht="14.1" customHeight="1" x14ac:dyDescent="0.25">
      <c r="A1" s="56"/>
      <c r="B1" s="13"/>
      <c r="C1" s="2"/>
      <c r="D1" s="2"/>
      <c r="E1" s="2"/>
      <c r="F1" s="53"/>
      <c r="H1" s="57"/>
      <c r="I1" s="57"/>
      <c r="J1" s="57"/>
      <c r="K1" s="57"/>
      <c r="L1" s="57"/>
      <c r="M1" s="57"/>
    </row>
    <row r="2" spans="1:20" s="3" customFormat="1" ht="14.1" customHeight="1" x14ac:dyDescent="0.25">
      <c r="A2" s="9"/>
      <c r="B2" s="9"/>
      <c r="C2" s="2"/>
      <c r="D2" s="2"/>
      <c r="E2" s="2"/>
      <c r="F2" s="2"/>
      <c r="G2" s="2"/>
    </row>
    <row r="3" spans="1:20" s="3" customFormat="1" ht="14.1" customHeight="1" x14ac:dyDescent="0.25">
      <c r="A3" s="9"/>
      <c r="B3" s="9"/>
      <c r="C3" s="2"/>
      <c r="D3" s="2"/>
      <c r="E3" s="2"/>
      <c r="F3" s="2"/>
      <c r="G3" s="2"/>
      <c r="J3" s="18"/>
    </row>
    <row r="4" spans="1:20" ht="14.1" customHeight="1" x14ac:dyDescent="0.2">
      <c r="A4" s="10"/>
      <c r="B4" s="10"/>
      <c r="C4" s="1"/>
      <c r="D4" s="1"/>
      <c r="E4" s="1"/>
      <c r="F4" s="1"/>
      <c r="G4" s="1"/>
      <c r="J4" s="140"/>
      <c r="K4" s="140"/>
      <c r="L4" s="17"/>
      <c r="M4" s="17"/>
    </row>
    <row r="5" spans="1:20" ht="14.1" customHeight="1" thickBot="1" x14ac:dyDescent="0.25"/>
    <row r="6" spans="1:20" s="4" customFormat="1" ht="24" customHeight="1" x14ac:dyDescent="0.2">
      <c r="A6" s="141" t="s">
        <v>55</v>
      </c>
      <c r="B6" s="147" t="s">
        <v>7</v>
      </c>
      <c r="C6" s="148"/>
      <c r="D6" s="149"/>
      <c r="E6" s="147" t="s">
        <v>16</v>
      </c>
      <c r="F6" s="149"/>
      <c r="G6" s="160" t="s">
        <v>163</v>
      </c>
      <c r="H6" s="158">
        <v>100</v>
      </c>
      <c r="I6" s="159"/>
      <c r="J6" s="145" t="s">
        <v>0</v>
      </c>
      <c r="K6" s="146"/>
      <c r="L6" s="67" t="s">
        <v>34</v>
      </c>
    </row>
    <row r="7" spans="1:20" s="4" customFormat="1" ht="24" customHeight="1" x14ac:dyDescent="0.2">
      <c r="A7" s="142"/>
      <c r="B7" s="150" t="s">
        <v>10</v>
      </c>
      <c r="C7" s="151"/>
      <c r="D7" s="152"/>
      <c r="E7" s="153"/>
      <c r="F7" s="154"/>
      <c r="G7" s="161"/>
      <c r="H7" s="19" t="s">
        <v>44</v>
      </c>
      <c r="I7" s="20" t="s">
        <v>19</v>
      </c>
      <c r="J7" s="164" t="s">
        <v>14</v>
      </c>
      <c r="K7" s="165"/>
      <c r="L7" s="68">
        <v>0</v>
      </c>
    </row>
    <row r="8" spans="1:20" s="4" customFormat="1" ht="24" customHeight="1" x14ac:dyDescent="0.2">
      <c r="A8" s="93" t="s">
        <v>35</v>
      </c>
      <c r="B8" s="22"/>
      <c r="C8" s="23">
        <f>VLOOKUP(A8,Tabelle1!A1:B5,2,0)</f>
        <v>4</v>
      </c>
      <c r="D8" s="24" t="s">
        <v>1</v>
      </c>
      <c r="E8" s="25">
        <v>0</v>
      </c>
      <c r="F8" s="24" t="s">
        <v>15</v>
      </c>
      <c r="G8" s="95">
        <f>VLOOKUP(A8,Tabelle1!A1:C5,3,0)</f>
        <v>1.33</v>
      </c>
      <c r="H8" s="26">
        <f>G8-G8*E8/100</f>
        <v>1.33</v>
      </c>
      <c r="I8" s="27">
        <f>PRODUCT(C8,H8)</f>
        <v>5.32</v>
      </c>
      <c r="J8" s="162">
        <v>25</v>
      </c>
      <c r="K8" s="143" t="s">
        <v>12</v>
      </c>
      <c r="L8" s="122">
        <f>SUM(I8+I9+(J8*L7))</f>
        <v>54.68</v>
      </c>
    </row>
    <row r="9" spans="1:20" s="4" customFormat="1" ht="24" customHeight="1" x14ac:dyDescent="0.2">
      <c r="A9" s="93" t="s">
        <v>155</v>
      </c>
      <c r="B9" s="22"/>
      <c r="C9" s="30">
        <v>1</v>
      </c>
      <c r="D9" s="24" t="s">
        <v>2</v>
      </c>
      <c r="E9" s="25">
        <v>0</v>
      </c>
      <c r="F9" s="24" t="s">
        <v>15</v>
      </c>
      <c r="G9" s="59">
        <f>VLOOKUP(A9,Tabelle1!A7:C8,3,0)</f>
        <v>49.36</v>
      </c>
      <c r="H9" s="26">
        <f t="shared" ref="H9:H16" si="0">G9-G9*E9/100</f>
        <v>49.36</v>
      </c>
      <c r="I9" s="27">
        <f>PRODUCT(C9,H9)</f>
        <v>49.36</v>
      </c>
      <c r="J9" s="163"/>
      <c r="K9" s="144"/>
      <c r="L9" s="123"/>
    </row>
    <row r="10" spans="1:20" s="4" customFormat="1" ht="24" customHeight="1" x14ac:dyDescent="0.2">
      <c r="A10" s="93" t="s">
        <v>37</v>
      </c>
      <c r="B10" s="22"/>
      <c r="C10" s="23">
        <f>VLOOKUP(A10,Tabelle1!A10:B15,2,0)</f>
        <v>4</v>
      </c>
      <c r="D10" s="24" t="s">
        <v>1</v>
      </c>
      <c r="E10" s="25" t="str">
        <f>REPT(E8,1)</f>
        <v>0</v>
      </c>
      <c r="F10" s="24" t="s">
        <v>15</v>
      </c>
      <c r="G10" s="95">
        <f>VLOOKUP(A10,Tabelle1!A10:C15,3,0)</f>
        <v>2.1800000000000002</v>
      </c>
      <c r="H10" s="26">
        <f t="shared" si="0"/>
        <v>2.1800000000000002</v>
      </c>
      <c r="I10" s="27">
        <f>PRODUCT(C10,H10)</f>
        <v>8.7200000000000006</v>
      </c>
      <c r="J10" s="166">
        <v>16</v>
      </c>
      <c r="K10" s="143" t="s">
        <v>12</v>
      </c>
      <c r="L10" s="122">
        <f>SUM(I10+I11+(J10*L7))</f>
        <v>11.47</v>
      </c>
    </row>
    <row r="11" spans="1:20" s="4" customFormat="1" ht="24" customHeight="1" x14ac:dyDescent="0.2">
      <c r="A11" s="93" t="s">
        <v>153</v>
      </c>
      <c r="B11" s="22"/>
      <c r="C11" s="23">
        <v>1.1000000000000001</v>
      </c>
      <c r="D11" s="24" t="s">
        <v>2</v>
      </c>
      <c r="E11" s="25" t="str">
        <f>REPT(E8,1)</f>
        <v>0</v>
      </c>
      <c r="F11" s="24" t="s">
        <v>15</v>
      </c>
      <c r="G11" s="95">
        <f>VLOOKUP(A11,Tabelle1!A140:C141,3,0)</f>
        <v>2.5</v>
      </c>
      <c r="H11" s="26">
        <f t="shared" si="0"/>
        <v>2.5</v>
      </c>
      <c r="I11" s="27">
        <f>PRODUCT(C11,H11)</f>
        <v>2.75</v>
      </c>
      <c r="J11" s="167"/>
      <c r="K11" s="144"/>
      <c r="L11" s="123"/>
    </row>
    <row r="12" spans="1:20" s="5" customFormat="1" ht="24" customHeight="1" x14ac:dyDescent="0.2">
      <c r="A12" s="78" t="s">
        <v>6</v>
      </c>
      <c r="B12" s="79"/>
      <c r="C12" s="80"/>
      <c r="D12" s="81"/>
      <c r="E12" s="82"/>
      <c r="F12" s="81"/>
      <c r="G12" s="83"/>
      <c r="H12" s="84"/>
      <c r="I12" s="85">
        <f>ROUND(SUM(I8:I11),2)</f>
        <v>66.150000000000006</v>
      </c>
      <c r="J12" s="86"/>
      <c r="K12" s="87"/>
      <c r="L12" s="88">
        <f>SUM(L8:L11)</f>
        <v>66.150000000000006</v>
      </c>
      <c r="T12" s="99"/>
    </row>
    <row r="13" spans="1:20" s="4" customFormat="1" ht="25.5" x14ac:dyDescent="0.2">
      <c r="A13" s="93" t="s">
        <v>70</v>
      </c>
      <c r="B13" s="33"/>
      <c r="C13" s="23">
        <v>0.2</v>
      </c>
      <c r="D13" s="24" t="s">
        <v>3</v>
      </c>
      <c r="E13" s="25" t="str">
        <f>REPT(E8,1)</f>
        <v>0</v>
      </c>
      <c r="F13" s="24" t="s">
        <v>15</v>
      </c>
      <c r="G13" s="95">
        <f>VLOOKUP(A13,Tabelle1!A17:C18,3,0)</f>
        <v>7.37</v>
      </c>
      <c r="H13" s="26">
        <f t="shared" si="0"/>
        <v>7.37</v>
      </c>
      <c r="I13" s="27">
        <f>PRODUCT(C13,H13)</f>
        <v>1.47</v>
      </c>
      <c r="J13" s="28">
        <v>4</v>
      </c>
      <c r="K13" s="29" t="s">
        <v>12</v>
      </c>
      <c r="L13" s="69">
        <f>SUM(I13+(J13*L7))</f>
        <v>1.47</v>
      </c>
      <c r="T13" s="99"/>
    </row>
    <row r="14" spans="1:20" s="4" customFormat="1" x14ac:dyDescent="0.2">
      <c r="A14" s="93" t="s">
        <v>166</v>
      </c>
      <c r="B14" s="34"/>
      <c r="C14" s="30">
        <f>VLOOKUP(A14,Tabelle1!A20:B97,2,0)</f>
        <v>4</v>
      </c>
      <c r="D14" s="24" t="s">
        <v>1</v>
      </c>
      <c r="E14" s="25" t="str">
        <f>REPT(E8,1)</f>
        <v>0</v>
      </c>
      <c r="F14" s="24" t="s">
        <v>15</v>
      </c>
      <c r="G14" s="95">
        <f>VLOOKUP(A14,Tabelle1!A:C,3,0)</f>
        <v>2.1800000000000002</v>
      </c>
      <c r="H14" s="26">
        <f t="shared" si="0"/>
        <v>2.1800000000000002</v>
      </c>
      <c r="I14" s="27">
        <f>PRODUCT(C14,H14)</f>
        <v>8.7200000000000006</v>
      </c>
      <c r="J14" s="31">
        <f>VLOOKUP(A14,Tabelle1!A20:E97,5,0)</f>
        <v>13</v>
      </c>
      <c r="K14" s="32" t="s">
        <v>12</v>
      </c>
      <c r="L14" s="69">
        <f>SUM(I14+(J14*L7))</f>
        <v>8.7200000000000006</v>
      </c>
      <c r="T14" s="99"/>
    </row>
    <row r="15" spans="1:20" s="5" customFormat="1" ht="24" customHeight="1" x14ac:dyDescent="0.2">
      <c r="A15" s="78" t="s">
        <v>4</v>
      </c>
      <c r="B15" s="79"/>
      <c r="C15" s="80"/>
      <c r="D15" s="81"/>
      <c r="E15" s="82"/>
      <c r="F15" s="81"/>
      <c r="G15" s="83"/>
      <c r="H15" s="84"/>
      <c r="I15" s="85">
        <f>ROUND(SUM(I12:I14),2)</f>
        <v>76.34</v>
      </c>
      <c r="J15" s="86"/>
      <c r="K15" s="87"/>
      <c r="L15" s="88">
        <f>SUM(L12:L14)</f>
        <v>76.34</v>
      </c>
      <c r="T15" s="99"/>
    </row>
    <row r="16" spans="1:20" s="4" customFormat="1" ht="24" customHeight="1" x14ac:dyDescent="0.2">
      <c r="A16" s="93" t="s">
        <v>147</v>
      </c>
      <c r="B16" s="34"/>
      <c r="C16" s="23">
        <v>0.2</v>
      </c>
      <c r="D16" s="24" t="s">
        <v>3</v>
      </c>
      <c r="E16" s="25" t="str">
        <f>REPT(E8,1)</f>
        <v>0</v>
      </c>
      <c r="F16" s="24" t="s">
        <v>15</v>
      </c>
      <c r="G16" s="95">
        <f>VLOOKUP(A16,Tabelle1!A:E,3,0)</f>
        <v>14.65</v>
      </c>
      <c r="H16" s="26">
        <f t="shared" si="0"/>
        <v>14.65</v>
      </c>
      <c r="I16" s="27">
        <f>PRODUCT(C16,H16)</f>
        <v>2.93</v>
      </c>
      <c r="J16" s="28">
        <v>11</v>
      </c>
      <c r="K16" s="29" t="s">
        <v>12</v>
      </c>
      <c r="L16" s="69">
        <f>SUM(I16+(J16*L7))</f>
        <v>2.93</v>
      </c>
      <c r="T16" s="99"/>
    </row>
    <row r="17" spans="1:20" s="5" customFormat="1" ht="24" customHeight="1" x14ac:dyDescent="0.2">
      <c r="A17" s="89" t="s">
        <v>21</v>
      </c>
      <c r="B17" s="90"/>
      <c r="C17" s="91"/>
      <c r="D17" s="92"/>
      <c r="E17" s="82"/>
      <c r="F17" s="81"/>
      <c r="G17" s="83"/>
      <c r="H17" s="84"/>
      <c r="I17" s="85">
        <f>ROUND(SUM(I15:I16),2)</f>
        <v>79.27</v>
      </c>
      <c r="J17" s="86">
        <f>SUM(J8:J16)</f>
        <v>69</v>
      </c>
      <c r="K17" s="87" t="s">
        <v>12</v>
      </c>
      <c r="L17" s="88">
        <f>ROUND(SUM(L15:L16),2)</f>
        <v>79.27</v>
      </c>
      <c r="T17" s="99"/>
    </row>
    <row r="18" spans="1:20" s="4" customFormat="1" ht="9.9499999999999993" customHeight="1" x14ac:dyDescent="0.2">
      <c r="A18" s="35"/>
      <c r="B18" s="36"/>
      <c r="C18" s="37"/>
      <c r="D18" s="37"/>
      <c r="E18" s="38"/>
      <c r="F18" s="36"/>
      <c r="G18" s="39"/>
      <c r="H18" s="37"/>
      <c r="I18" s="37"/>
      <c r="J18" s="40"/>
      <c r="K18" s="36"/>
      <c r="L18" s="70"/>
      <c r="T18" s="99"/>
    </row>
    <row r="19" spans="1:20" s="4" customFormat="1" ht="24" customHeight="1" x14ac:dyDescent="0.2">
      <c r="A19" s="41" t="s">
        <v>5</v>
      </c>
      <c r="B19" s="42"/>
      <c r="C19" s="43"/>
      <c r="D19" s="43"/>
      <c r="E19" s="44"/>
      <c r="F19" s="45"/>
      <c r="G19" s="46"/>
      <c r="H19" s="47"/>
      <c r="I19" s="47"/>
      <c r="J19" s="48"/>
      <c r="K19" s="60"/>
      <c r="L19" s="70"/>
    </row>
    <row r="20" spans="1:20" s="4" customFormat="1" ht="24" customHeight="1" x14ac:dyDescent="0.2">
      <c r="A20" s="49" t="s">
        <v>33</v>
      </c>
      <c r="B20" s="50"/>
      <c r="C20" s="51">
        <v>1</v>
      </c>
      <c r="D20" s="24" t="s">
        <v>8</v>
      </c>
      <c r="E20" s="25" t="str">
        <f>REPT(E8,1)</f>
        <v>0</v>
      </c>
      <c r="F20" s="24" t="s">
        <v>15</v>
      </c>
      <c r="G20" s="59">
        <f>IF(H6=60,5.87,IF(H6=80,6.58,IF(H6=100,8.33,IF(H6=120,10.34,IF(H6=140,11.64,IF(H6=160,13.02,IF(H6=180,14.35,IF(H6=200,15.68,"Preis ?"))))))))</f>
        <v>8.33</v>
      </c>
      <c r="H20" s="26">
        <f>G20-G20*E20/100</f>
        <v>8.33</v>
      </c>
      <c r="I20" s="27">
        <f>PRODUCT(C20,H20)</f>
        <v>8.33</v>
      </c>
      <c r="J20" s="48">
        <v>12</v>
      </c>
      <c r="K20" s="32" t="s">
        <v>13</v>
      </c>
      <c r="L20" s="69">
        <f>SUM(I20+(J20*L7))</f>
        <v>8.33</v>
      </c>
    </row>
    <row r="21" spans="1:20" s="4" customFormat="1" ht="24" customHeight="1" x14ac:dyDescent="0.2">
      <c r="A21" s="21" t="s">
        <v>56</v>
      </c>
      <c r="B21" s="22"/>
      <c r="C21" s="51">
        <v>1</v>
      </c>
      <c r="D21" s="24" t="s">
        <v>8</v>
      </c>
      <c r="E21" s="25" t="str">
        <f>REPT(E8,1)</f>
        <v>0</v>
      </c>
      <c r="F21" s="24" t="s">
        <v>15</v>
      </c>
      <c r="G21" s="95">
        <v>2.46</v>
      </c>
      <c r="H21" s="26">
        <f>G21-G21*E21/100</f>
        <v>2.46</v>
      </c>
      <c r="I21" s="27">
        <f>PRODUCT(C21,H21)</f>
        <v>2.46</v>
      </c>
      <c r="J21" s="48">
        <v>8</v>
      </c>
      <c r="K21" s="32" t="s">
        <v>13</v>
      </c>
      <c r="L21" s="69">
        <f>SUM(I21+(J21*L7))</f>
        <v>2.46</v>
      </c>
    </row>
    <row r="22" spans="1:20" s="4" customFormat="1" ht="24" customHeight="1" x14ac:dyDescent="0.2">
      <c r="A22" s="93" t="s">
        <v>36</v>
      </c>
      <c r="B22" s="22"/>
      <c r="C22" s="51">
        <v>1</v>
      </c>
      <c r="D22" s="24" t="s">
        <v>8</v>
      </c>
      <c r="E22" s="25" t="str">
        <f>REPT(E8,1)</f>
        <v>0</v>
      </c>
      <c r="F22" s="24" t="s">
        <v>15</v>
      </c>
      <c r="G22" s="95">
        <f>VLOOKUP(A22,Tabelle1!A127:C131,3,0)</f>
        <v>1.84</v>
      </c>
      <c r="H22" s="26">
        <f>G22-G22*E22/100</f>
        <v>1.84</v>
      </c>
      <c r="I22" s="27">
        <f>PRODUCT(C22,H22)</f>
        <v>1.84</v>
      </c>
      <c r="J22" s="48">
        <v>3</v>
      </c>
      <c r="K22" s="32" t="s">
        <v>13</v>
      </c>
      <c r="L22" s="69">
        <f>SUM(I22+(J22*L7))</f>
        <v>1.84</v>
      </c>
    </row>
    <row r="23" spans="1:20" s="4" customFormat="1" ht="24" customHeight="1" x14ac:dyDescent="0.2">
      <c r="A23" s="93" t="s">
        <v>164</v>
      </c>
      <c r="B23" s="22"/>
      <c r="C23" s="51">
        <v>1</v>
      </c>
      <c r="D23" s="50" t="s">
        <v>8</v>
      </c>
      <c r="E23" s="25" t="str">
        <f>REPT(E8,1)</f>
        <v>0</v>
      </c>
      <c r="F23" s="24" t="s">
        <v>15</v>
      </c>
      <c r="G23" s="96">
        <f>VLOOKUP(A23,Tabelle1!A121:C124,3,0)</f>
        <v>5.38</v>
      </c>
      <c r="H23" s="26">
        <f>G23-G23*E23/100</f>
        <v>5.38</v>
      </c>
      <c r="I23" s="27">
        <f>PRODUCT(C23,H23)</f>
        <v>5.38</v>
      </c>
      <c r="J23" s="48">
        <v>5</v>
      </c>
      <c r="K23" s="32" t="s">
        <v>13</v>
      </c>
      <c r="L23" s="71">
        <f>SUM(I23+(J23*L7))</f>
        <v>5.38</v>
      </c>
    </row>
    <row r="24" spans="1:20" s="4" customFormat="1" ht="24" customHeight="1" x14ac:dyDescent="0.2">
      <c r="A24" s="52" t="s">
        <v>20</v>
      </c>
      <c r="B24" s="155" t="s">
        <v>9</v>
      </c>
      <c r="C24" s="156"/>
      <c r="D24" s="156"/>
      <c r="E24" s="156"/>
      <c r="F24" s="156"/>
      <c r="G24" s="156"/>
      <c r="H24" s="156"/>
      <c r="I24" s="156"/>
      <c r="J24" s="156"/>
      <c r="K24" s="157"/>
      <c r="L24" s="72"/>
    </row>
    <row r="25" spans="1:20" s="4" customFormat="1" ht="24" customHeight="1" x14ac:dyDescent="0.2">
      <c r="A25" s="93" t="s">
        <v>49</v>
      </c>
      <c r="B25" s="94" t="s">
        <v>11</v>
      </c>
      <c r="C25" s="51">
        <v>4</v>
      </c>
      <c r="D25" s="24" t="s">
        <v>26</v>
      </c>
      <c r="E25" s="25" t="str">
        <f>REPT(E8,1)</f>
        <v>0</v>
      </c>
      <c r="F25" s="24" t="s">
        <v>15</v>
      </c>
      <c r="G25" s="97">
        <f>VLOOKUP(A25,Tabelle1!A109:C118,3,0)</f>
        <v>1.89</v>
      </c>
      <c r="H25" s="61">
        <f>G25-G25*E25/100</f>
        <v>1.89</v>
      </c>
      <c r="I25" s="100">
        <f>PRODUCT(C25,H25)</f>
        <v>7.56</v>
      </c>
      <c r="J25" s="166">
        <f>3*C25</f>
        <v>12</v>
      </c>
      <c r="K25" s="143" t="s">
        <v>12</v>
      </c>
      <c r="L25" s="122">
        <f>SUM(I25+I26+I27+(J25*L7))</f>
        <v>15.12</v>
      </c>
    </row>
    <row r="26" spans="1:20" s="4" customFormat="1" ht="33" customHeight="1" x14ac:dyDescent="0.2">
      <c r="A26" s="21" t="s">
        <v>68</v>
      </c>
      <c r="B26" s="94" t="s">
        <v>11</v>
      </c>
      <c r="C26" s="51">
        <v>4</v>
      </c>
      <c r="D26" s="24" t="s">
        <v>26</v>
      </c>
      <c r="E26" s="25" t="str">
        <f t="shared" ref="E26:E27" si="1">REPT(E13,1)</f>
        <v>0</v>
      </c>
      <c r="F26" s="24" t="s">
        <v>15</v>
      </c>
      <c r="G26" s="95">
        <f>VLOOKUP(A26,Tabelle1!A135:E137,3,0)</f>
        <v>0.23</v>
      </c>
      <c r="H26" s="26">
        <f t="shared" ref="H26:H27" si="2">G26-G26*E26/100</f>
        <v>0.23</v>
      </c>
      <c r="I26" s="27">
        <f t="shared" ref="I26:I27" si="3">PRODUCT(C26,H26)</f>
        <v>0.92</v>
      </c>
      <c r="J26" s="173"/>
      <c r="K26" s="175"/>
      <c r="L26" s="124"/>
    </row>
    <row r="27" spans="1:20" s="4" customFormat="1" ht="26.25" thickBot="1" x14ac:dyDescent="0.25">
      <c r="A27" s="115" t="s">
        <v>67</v>
      </c>
      <c r="B27" s="101" t="s">
        <v>11</v>
      </c>
      <c r="C27" s="102">
        <v>4</v>
      </c>
      <c r="D27" s="103" t="s">
        <v>26</v>
      </c>
      <c r="E27" s="104" t="str">
        <f t="shared" si="1"/>
        <v>0</v>
      </c>
      <c r="F27" s="103" t="s">
        <v>15</v>
      </c>
      <c r="G27" s="105">
        <f>VLOOKUP(A27,Tabelle1!A135:C137,3,0)</f>
        <v>1.66</v>
      </c>
      <c r="H27" s="106">
        <f t="shared" si="2"/>
        <v>1.66</v>
      </c>
      <c r="I27" s="107">
        <f t="shared" si="3"/>
        <v>6.64</v>
      </c>
      <c r="J27" s="174"/>
      <c r="K27" s="176"/>
      <c r="L27" s="125"/>
    </row>
    <row r="28" spans="1:20" s="4" customFormat="1" x14ac:dyDescent="0.2">
      <c r="A28" s="108"/>
      <c r="B28" s="109"/>
      <c r="C28" s="58"/>
      <c r="D28" s="55"/>
      <c r="E28" s="8"/>
      <c r="F28" s="55"/>
      <c r="G28" s="110"/>
      <c r="H28" s="111"/>
      <c r="I28" s="111"/>
      <c r="J28" s="112"/>
      <c r="K28" s="113"/>
      <c r="L28" s="114"/>
    </row>
    <row r="29" spans="1:20" s="4" customFormat="1" x14ac:dyDescent="0.2">
      <c r="A29" s="108"/>
      <c r="B29" s="109"/>
      <c r="C29" s="58"/>
      <c r="D29" s="55"/>
      <c r="E29" s="8"/>
      <c r="F29" s="55"/>
      <c r="G29" s="110"/>
      <c r="H29" s="111"/>
      <c r="I29" s="111"/>
      <c r="J29" s="112"/>
      <c r="K29" s="113"/>
      <c r="L29" s="114"/>
    </row>
    <row r="30" spans="1:20" s="4" customFormat="1" x14ac:dyDescent="0.2">
      <c r="A30" s="108"/>
      <c r="B30" s="109"/>
      <c r="C30" s="58"/>
      <c r="D30" s="55"/>
      <c r="E30" s="8"/>
      <c r="F30" s="55"/>
      <c r="G30" s="110"/>
      <c r="H30" s="111"/>
      <c r="I30" s="111"/>
      <c r="J30" s="112"/>
      <c r="K30" s="113"/>
      <c r="L30" s="114"/>
    </row>
    <row r="31" spans="1:20" s="8" customFormat="1" x14ac:dyDescent="0.2">
      <c r="A31" s="54" t="s">
        <v>18</v>
      </c>
      <c r="B31" s="139"/>
      <c r="C31" s="139"/>
      <c r="D31" s="55"/>
      <c r="E31" s="7"/>
      <c r="F31" s="7"/>
      <c r="G31" s="7"/>
      <c r="H31" s="7"/>
      <c r="I31" s="7"/>
      <c r="J31" s="7"/>
      <c r="K31" s="7"/>
    </row>
    <row r="32" spans="1:20" s="8" customFormat="1" ht="8.1" customHeight="1" x14ac:dyDescent="0.2">
      <c r="A32" s="54"/>
      <c r="B32" s="58"/>
      <c r="C32" s="58"/>
      <c r="D32" s="55"/>
      <c r="E32" s="7"/>
      <c r="F32" s="7"/>
      <c r="G32" s="7"/>
      <c r="H32" s="7"/>
      <c r="I32" s="7"/>
      <c r="J32" s="7"/>
      <c r="K32" s="7"/>
    </row>
    <row r="33" spans="1:11" s="8" customFormat="1" x14ac:dyDescent="0.2">
      <c r="A33" s="66" t="s">
        <v>22</v>
      </c>
      <c r="B33" s="137">
        <v>0</v>
      </c>
      <c r="C33" s="138"/>
      <c r="D33" s="128" t="s">
        <v>2</v>
      </c>
      <c r="E33" s="129"/>
      <c r="F33" s="183">
        <f>B33*I17</f>
        <v>0</v>
      </c>
      <c r="G33" s="184"/>
      <c r="H33" s="7"/>
      <c r="I33" s="7"/>
      <c r="J33" s="7"/>
      <c r="K33" s="7"/>
    </row>
    <row r="34" spans="1:11" s="8" customFormat="1" x14ac:dyDescent="0.2">
      <c r="A34" s="66" t="s">
        <v>23</v>
      </c>
      <c r="B34" s="137">
        <v>0</v>
      </c>
      <c r="C34" s="138"/>
      <c r="D34" s="128" t="s">
        <v>17</v>
      </c>
      <c r="E34" s="129"/>
      <c r="F34" s="183">
        <f>SUM(I23*B34)</f>
        <v>0</v>
      </c>
      <c r="G34" s="184"/>
      <c r="H34" s="7"/>
      <c r="I34" s="7"/>
      <c r="J34" s="7"/>
      <c r="K34" s="7"/>
    </row>
    <row r="35" spans="1:11" s="8" customFormat="1" x14ac:dyDescent="0.2">
      <c r="A35" s="66" t="s">
        <v>24</v>
      </c>
      <c r="B35" s="137">
        <v>0</v>
      </c>
      <c r="C35" s="138"/>
      <c r="D35" s="128" t="s">
        <v>17</v>
      </c>
      <c r="E35" s="129"/>
      <c r="F35" s="118">
        <f>B35*I21</f>
        <v>0</v>
      </c>
      <c r="G35" s="119"/>
      <c r="H35" s="7"/>
      <c r="I35" s="7"/>
      <c r="J35" s="7"/>
      <c r="K35" s="7"/>
    </row>
    <row r="36" spans="1:11" s="4" customFormat="1" x14ac:dyDescent="0.2">
      <c r="A36" s="65" t="s">
        <v>25</v>
      </c>
      <c r="B36" s="116">
        <v>0</v>
      </c>
      <c r="C36" s="117"/>
      <c r="D36" s="126" t="s">
        <v>17</v>
      </c>
      <c r="E36" s="127"/>
      <c r="F36" s="118">
        <f>B36*I20</f>
        <v>0</v>
      </c>
      <c r="G36" s="119"/>
      <c r="H36" s="6"/>
      <c r="I36" s="6"/>
      <c r="J36" s="6"/>
      <c r="K36" s="6"/>
    </row>
    <row r="37" spans="1:11" s="4" customFormat="1" x14ac:dyDescent="0.2">
      <c r="A37" s="65" t="s">
        <v>20</v>
      </c>
      <c r="B37" s="116">
        <v>0</v>
      </c>
      <c r="C37" s="117"/>
      <c r="D37" s="126" t="s">
        <v>2</v>
      </c>
      <c r="E37" s="127"/>
      <c r="F37" s="118">
        <f>SUM(I25*B37)</f>
        <v>0</v>
      </c>
      <c r="G37" s="119"/>
      <c r="H37" s="6"/>
      <c r="I37" s="6"/>
      <c r="J37" s="6"/>
      <c r="K37" s="6"/>
    </row>
    <row r="38" spans="1:11" s="4" customFormat="1" x14ac:dyDescent="0.2">
      <c r="A38" s="12"/>
      <c r="B38" s="12"/>
      <c r="C38" s="6"/>
      <c r="D38" s="6"/>
      <c r="E38" s="6"/>
      <c r="F38" s="120">
        <f>SUM(F33:G37)</f>
        <v>0</v>
      </c>
      <c r="G38" s="121"/>
      <c r="H38" s="6"/>
      <c r="I38" s="6"/>
      <c r="J38" s="6"/>
      <c r="K38" s="6"/>
    </row>
    <row r="39" spans="1:11" s="4" customFormat="1" x14ac:dyDescent="0.2">
      <c r="A39" s="12"/>
      <c r="B39" s="12"/>
      <c r="C39" s="6"/>
      <c r="D39" s="6"/>
      <c r="E39" s="6"/>
      <c r="F39" s="62"/>
      <c r="G39" s="62"/>
      <c r="H39" s="6"/>
      <c r="I39" s="6"/>
      <c r="J39" s="6"/>
      <c r="K39" s="6"/>
    </row>
    <row r="40" spans="1:11" s="4" customFormat="1" x14ac:dyDescent="0.2">
      <c r="A40" s="63" t="s">
        <v>32</v>
      </c>
      <c r="B40" s="12"/>
      <c r="C40" s="6"/>
      <c r="D40" s="6"/>
      <c r="E40" s="6"/>
      <c r="F40" s="62"/>
      <c r="G40" s="62"/>
      <c r="H40" s="6"/>
      <c r="I40" s="6"/>
      <c r="J40" s="6"/>
      <c r="K40" s="6"/>
    </row>
    <row r="41" spans="1:11" s="4" customFormat="1" ht="8.1" customHeight="1" x14ac:dyDescent="0.2">
      <c r="A41" s="36"/>
      <c r="B41" s="12"/>
      <c r="C41" s="6"/>
      <c r="D41" s="6"/>
      <c r="E41" s="6"/>
      <c r="F41" s="62"/>
      <c r="G41" s="62"/>
      <c r="H41" s="6"/>
      <c r="I41" s="6"/>
      <c r="J41" s="6"/>
      <c r="K41" s="6"/>
    </row>
    <row r="42" spans="1:11" s="4" customFormat="1" x14ac:dyDescent="0.2">
      <c r="A42" s="136" t="str">
        <f>A9</f>
        <v>HECK Coverrock X-2</v>
      </c>
      <c r="B42" s="133"/>
      <c r="C42" s="133"/>
      <c r="D42" s="133"/>
      <c r="E42" s="133"/>
      <c r="F42" s="168">
        <f>SUM(B33)</f>
        <v>0</v>
      </c>
      <c r="G42" s="168"/>
      <c r="H42" s="6"/>
      <c r="I42" s="6"/>
      <c r="J42" s="6"/>
      <c r="K42" s="6"/>
    </row>
    <row r="43" spans="1:11" s="4" customFormat="1" x14ac:dyDescent="0.2">
      <c r="A43" s="136" t="str">
        <f>A8</f>
        <v>HECK K+A grau</v>
      </c>
      <c r="B43" s="133"/>
      <c r="C43" s="133"/>
      <c r="D43" s="133"/>
      <c r="E43" s="133"/>
      <c r="F43" s="169">
        <f>VLOOKUP(A43,Tabelle1!A1:D4,4,0)</f>
        <v>0</v>
      </c>
      <c r="G43" s="169"/>
      <c r="H43" s="6" t="s">
        <v>42</v>
      </c>
      <c r="I43" s="6"/>
      <c r="J43" s="6"/>
      <c r="K43" s="6"/>
    </row>
    <row r="44" spans="1:11" s="4" customFormat="1" x14ac:dyDescent="0.2">
      <c r="A44" s="136" t="str">
        <f>A10</f>
        <v>HECK K+A PLUS weiß</v>
      </c>
      <c r="B44" s="133"/>
      <c r="C44" s="133"/>
      <c r="D44" s="133"/>
      <c r="E44" s="133"/>
      <c r="F44" s="172">
        <f>VLOOKUP(A44,Tabelle1!A10:D14,4,0)</f>
        <v>0</v>
      </c>
      <c r="G44" s="172"/>
      <c r="H44" s="6" t="s">
        <v>43</v>
      </c>
      <c r="I44" s="6"/>
      <c r="J44" s="6"/>
      <c r="K44" s="6"/>
    </row>
    <row r="45" spans="1:11" s="4" customFormat="1" x14ac:dyDescent="0.2">
      <c r="A45" s="132" t="str">
        <f>A11</f>
        <v>HECK AGG (Armierungsgewebe fein)</v>
      </c>
      <c r="B45" s="133"/>
      <c r="C45" s="133"/>
      <c r="D45" s="133"/>
      <c r="E45" s="133"/>
      <c r="F45" s="170">
        <f>ROUNDUP(((C11*B33)/55),0)</f>
        <v>0</v>
      </c>
      <c r="G45" s="170"/>
      <c r="H45" s="6"/>
      <c r="I45" s="6"/>
      <c r="J45" s="6"/>
      <c r="K45" s="6"/>
    </row>
    <row r="46" spans="1:11" s="4" customFormat="1" x14ac:dyDescent="0.2">
      <c r="A46" s="132" t="str">
        <f>A13</f>
        <v>HECK UG (Universalgrundierung) weiß</v>
      </c>
      <c r="B46" s="133"/>
      <c r="C46" s="133"/>
      <c r="D46" s="133"/>
      <c r="E46" s="133"/>
      <c r="F46" s="171">
        <f>ROUNDUP(((C13*B33)/15),0)</f>
        <v>0</v>
      </c>
      <c r="G46" s="171"/>
      <c r="H46" s="6"/>
      <c r="I46" s="6"/>
      <c r="J46" s="6"/>
      <c r="K46" s="6"/>
    </row>
    <row r="47" spans="1:11" s="4" customFormat="1" x14ac:dyDescent="0.2">
      <c r="A47" s="132" t="str">
        <f>A14</f>
        <v>HECK K+A PLUS weiß 4 mm</v>
      </c>
      <c r="B47" s="133"/>
      <c r="C47" s="133"/>
      <c r="D47" s="133"/>
      <c r="E47" s="133"/>
      <c r="F47" s="134">
        <f>VLOOKUP(A47,Tabelle1!A:D,4,0)</f>
        <v>0</v>
      </c>
      <c r="G47" s="135"/>
      <c r="H47" s="6"/>
      <c r="I47" s="6"/>
      <c r="J47" s="6"/>
      <c r="K47" s="6"/>
    </row>
    <row r="48" spans="1:11" s="4" customFormat="1" x14ac:dyDescent="0.2">
      <c r="A48" s="132" t="str">
        <f>A16</f>
        <v>HECK SIF (Silikat-Fassadenfarbe) weiß</v>
      </c>
      <c r="B48" s="133"/>
      <c r="C48" s="133"/>
      <c r="D48" s="133"/>
      <c r="E48" s="133"/>
      <c r="F48" s="134">
        <f>VLOOKUP(A48,Tabelle1!A:D,4,0)</f>
        <v>0</v>
      </c>
      <c r="G48" s="135"/>
      <c r="H48" s="6"/>
      <c r="I48" s="6"/>
      <c r="J48" s="6"/>
      <c r="K48" s="6"/>
    </row>
    <row r="49" spans="1:11" s="4" customFormat="1" x14ac:dyDescent="0.2">
      <c r="A49" s="132" t="s">
        <v>33</v>
      </c>
      <c r="B49" s="133"/>
      <c r="C49" s="133"/>
      <c r="D49" s="133"/>
      <c r="E49" s="133"/>
      <c r="F49" s="179">
        <f>ROUNDUP(((C20*B36)/2.5),0)</f>
        <v>0</v>
      </c>
      <c r="G49" s="180"/>
      <c r="H49" s="6"/>
      <c r="I49" s="6"/>
      <c r="J49" s="6"/>
      <c r="K49" s="6"/>
    </row>
    <row r="50" spans="1:11" s="4" customFormat="1" x14ac:dyDescent="0.2">
      <c r="A50" s="132" t="s">
        <v>56</v>
      </c>
      <c r="B50" s="133"/>
      <c r="C50" s="133"/>
      <c r="D50" s="133"/>
      <c r="E50" s="133"/>
      <c r="F50" s="179">
        <f>ROUNDUP(((C21*B35)/2.5),0)</f>
        <v>0</v>
      </c>
      <c r="G50" s="180"/>
      <c r="H50" s="6"/>
      <c r="I50" s="6"/>
      <c r="J50" s="6"/>
      <c r="K50" s="6"/>
    </row>
    <row r="51" spans="1:11" s="4" customFormat="1" x14ac:dyDescent="0.2">
      <c r="A51" s="130" t="str">
        <f>A22</f>
        <v>HECK Fugendichtband 14/2-6</v>
      </c>
      <c r="B51" s="133"/>
      <c r="C51" s="133"/>
      <c r="D51" s="133"/>
      <c r="E51" s="133"/>
      <c r="F51" s="181">
        <f>VLOOKUP(A51,Tabelle1!A127:D131,4,0)</f>
        <v>0</v>
      </c>
      <c r="G51" s="182"/>
      <c r="H51" s="6"/>
      <c r="I51" s="6"/>
      <c r="J51" s="6"/>
      <c r="K51" s="6"/>
    </row>
    <row r="52" spans="1:11" s="4" customFormat="1" x14ac:dyDescent="0.2">
      <c r="A52" s="130" t="str">
        <f>A23</f>
        <v>HECK Anputzleiste Membran Giga Flex</v>
      </c>
      <c r="B52" s="133"/>
      <c r="C52" s="133"/>
      <c r="D52" s="133"/>
      <c r="E52" s="133"/>
      <c r="F52" s="179">
        <f>VLOOKUP(A52,Tabelle1!A121:D124,4,0)</f>
        <v>0</v>
      </c>
      <c r="G52" s="180"/>
      <c r="H52" s="6"/>
      <c r="I52" s="6"/>
      <c r="J52" s="6"/>
      <c r="K52" s="6"/>
    </row>
    <row r="53" spans="1:11" s="4" customFormat="1" x14ac:dyDescent="0.2">
      <c r="A53" s="130" t="str">
        <f>A25</f>
        <v>HECK Schraubdübel STR-U 2G 195 mm</v>
      </c>
      <c r="B53" s="133"/>
      <c r="C53" s="133"/>
      <c r="D53" s="133"/>
      <c r="E53" s="133"/>
      <c r="F53" s="179">
        <f>ROUNDUP((C25*B37),0)</f>
        <v>0</v>
      </c>
      <c r="G53" s="180"/>
      <c r="H53" s="6"/>
      <c r="I53" s="6"/>
      <c r="J53" s="6"/>
      <c r="K53" s="6"/>
    </row>
    <row r="54" spans="1:11" s="4" customFormat="1" x14ac:dyDescent="0.2">
      <c r="A54" s="130" t="str">
        <f>A26</f>
        <v>HECK STR-Verschlusselement Steinwolle</v>
      </c>
      <c r="B54" s="130"/>
      <c r="C54" s="130"/>
      <c r="D54" s="130"/>
      <c r="E54" s="130"/>
      <c r="F54" s="131">
        <f>VLOOKUP(A54,Tabelle1!A134:D137,4,0)</f>
        <v>0</v>
      </c>
      <c r="G54" s="131"/>
      <c r="H54" s="6"/>
      <c r="I54" s="6"/>
      <c r="J54" s="6"/>
      <c r="K54" s="6"/>
    </row>
    <row r="55" spans="1:11" s="4" customFormat="1" x14ac:dyDescent="0.2">
      <c r="A55" s="130" t="str">
        <f>A27</f>
        <v>HECK Dübelteller VT2G + HECK STR-Rondelle MW</v>
      </c>
      <c r="B55" s="133"/>
      <c r="C55" s="133"/>
      <c r="D55" s="133"/>
      <c r="E55" s="133"/>
      <c r="F55" s="177">
        <f>VLOOKUP(A55,Tabelle1!A135:E137,4,0)</f>
        <v>0</v>
      </c>
      <c r="G55" s="178"/>
      <c r="H55" s="6"/>
      <c r="I55" s="6"/>
      <c r="J55" s="6"/>
      <c r="K55" s="6"/>
    </row>
    <row r="56" spans="1:11" s="74" customFormat="1" x14ac:dyDescent="0.2">
      <c r="A56" s="55"/>
      <c r="B56"/>
      <c r="C56"/>
      <c r="D56"/>
      <c r="E56"/>
      <c r="F56" s="64"/>
      <c r="G56" s="64"/>
    </row>
    <row r="57" spans="1:11" s="74" customFormat="1" x14ac:dyDescent="0.2">
      <c r="A57" s="15"/>
      <c r="B57" s="11"/>
      <c r="C57"/>
      <c r="D57"/>
      <c r="E57"/>
      <c r="F57"/>
      <c r="G57"/>
    </row>
    <row r="58" spans="1:11" s="74" customFormat="1" ht="11.25" x14ac:dyDescent="0.2">
      <c r="A58" s="12" t="s">
        <v>160</v>
      </c>
      <c r="B58" s="73"/>
    </row>
    <row r="59" spans="1:11" s="74" customFormat="1" ht="11.25" x14ac:dyDescent="0.2">
      <c r="A59" s="12" t="s">
        <v>162</v>
      </c>
      <c r="B59" s="73"/>
    </row>
    <row r="60" spans="1:11" s="74" customFormat="1" ht="11.25" x14ac:dyDescent="0.2">
      <c r="A60" s="12" t="s">
        <v>161</v>
      </c>
      <c r="B60" s="73"/>
    </row>
    <row r="61" spans="1:11" x14ac:dyDescent="0.2">
      <c r="A61" s="73" t="s">
        <v>27</v>
      </c>
      <c r="B61" s="73"/>
      <c r="C61" s="74"/>
      <c r="D61" s="74"/>
      <c r="E61" s="74"/>
      <c r="F61" s="74"/>
      <c r="G61" s="74"/>
    </row>
    <row r="62" spans="1:11" x14ac:dyDescent="0.2">
      <c r="A62" s="74" t="s">
        <v>28</v>
      </c>
      <c r="B62" s="73"/>
      <c r="C62" s="74"/>
      <c r="D62" s="74"/>
      <c r="E62" s="74"/>
      <c r="F62" s="74"/>
      <c r="G62" s="74"/>
    </row>
    <row r="63" spans="1:11" x14ac:dyDescent="0.2">
      <c r="A63" s="73" t="s">
        <v>29</v>
      </c>
      <c r="B63" s="14"/>
    </row>
    <row r="64" spans="1:11" x14ac:dyDescent="0.2">
      <c r="A64" s="73" t="s">
        <v>30</v>
      </c>
      <c r="B64" s="15"/>
    </row>
    <row r="65" spans="1:2" x14ac:dyDescent="0.2">
      <c r="A65" s="73" t="s">
        <v>31</v>
      </c>
      <c r="B65" s="16"/>
    </row>
  </sheetData>
  <mergeCells count="64">
    <mergeCell ref="K25:K27"/>
    <mergeCell ref="A55:E55"/>
    <mergeCell ref="F55:G55"/>
    <mergeCell ref="A52:E52"/>
    <mergeCell ref="F52:G52"/>
    <mergeCell ref="A53:E53"/>
    <mergeCell ref="F53:G53"/>
    <mergeCell ref="A50:E50"/>
    <mergeCell ref="F50:G50"/>
    <mergeCell ref="A51:E51"/>
    <mergeCell ref="F51:G51"/>
    <mergeCell ref="F36:G36"/>
    <mergeCell ref="F33:G33"/>
    <mergeCell ref="F34:G34"/>
    <mergeCell ref="F49:G49"/>
    <mergeCell ref="F35:G35"/>
    <mergeCell ref="J4:K4"/>
    <mergeCell ref="A6:A7"/>
    <mergeCell ref="K8:K9"/>
    <mergeCell ref="J6:K6"/>
    <mergeCell ref="B6:D6"/>
    <mergeCell ref="B7:D7"/>
    <mergeCell ref="E6:F7"/>
    <mergeCell ref="B24:K24"/>
    <mergeCell ref="H6:I6"/>
    <mergeCell ref="G6:G7"/>
    <mergeCell ref="J8:J9"/>
    <mergeCell ref="J7:K7"/>
    <mergeCell ref="J10:J11"/>
    <mergeCell ref="K10:K11"/>
    <mergeCell ref="J25:J27"/>
    <mergeCell ref="A47:E47"/>
    <mergeCell ref="F47:G47"/>
    <mergeCell ref="A42:E42"/>
    <mergeCell ref="A43:E43"/>
    <mergeCell ref="A45:E45"/>
    <mergeCell ref="A46:E46"/>
    <mergeCell ref="A44:E44"/>
    <mergeCell ref="F42:G42"/>
    <mergeCell ref="F43:G43"/>
    <mergeCell ref="F45:G45"/>
    <mergeCell ref="F46:G46"/>
    <mergeCell ref="F44:G44"/>
    <mergeCell ref="A54:E54"/>
    <mergeCell ref="F54:G54"/>
    <mergeCell ref="A48:E48"/>
    <mergeCell ref="F48:G48"/>
    <mergeCell ref="A49:E49"/>
    <mergeCell ref="B37:C37"/>
    <mergeCell ref="F37:G37"/>
    <mergeCell ref="F38:G38"/>
    <mergeCell ref="L8:L9"/>
    <mergeCell ref="L10:L11"/>
    <mergeCell ref="L25:L27"/>
    <mergeCell ref="D37:E37"/>
    <mergeCell ref="D33:E33"/>
    <mergeCell ref="D34:E34"/>
    <mergeCell ref="D35:E35"/>
    <mergeCell ref="D36:E36"/>
    <mergeCell ref="B36:C36"/>
    <mergeCell ref="B35:C35"/>
    <mergeCell ref="B31:C31"/>
    <mergeCell ref="B33:C33"/>
    <mergeCell ref="B34:C34"/>
  </mergeCells>
  <phoneticPr fontId="0" type="noConversion"/>
  <printOptions gridLinesSet="0"/>
  <pageMargins left="0.39370078740157483" right="0.78740157480314965" top="1.3779527559055118" bottom="0.70866141732283472" header="0.39370078740157483" footer="0.51181102362204722"/>
  <pageSetup paperSize="9" scale="90" orientation="portrait" horizontalDpi="4294967292" verticalDpi="360" r:id="rId1"/>
  <headerFooter alignWithMargins="0">
    <oddHeader>&amp;L&amp;"Arial,Fett"&amp;14HECK Dämmsystem MW&amp;10
&amp;R&amp;G</oddHeader>
  </headerFooter>
  <customProperties>
    <customPr name="_pios_id" r:id="rId2"/>
  </customProperties>
  <ignoredErrors>
    <ignoredError sqref="I12:I15" formula="1"/>
    <ignoredError sqref="H20:I20 G36:G39 F39 K20:L20" evalError="1"/>
  </ignoredErrors>
  <legacyDrawing r:id="rId3"/>
  <legacyDrawingHF r:id="rId4"/>
  <extLst>
    <ext xmlns:x14="http://schemas.microsoft.com/office/spreadsheetml/2009/9/main" uri="{CCE6A557-97BC-4b89-ADB6-D9C93CAAB3DF}">
      <x14:dataValidations xmlns:xm="http://schemas.microsoft.com/office/excel/2006/main" count="11">
        <x14:dataValidation type="list" allowBlank="1" showInputMessage="1" showErrorMessage="1" xr:uid="{00000000-0002-0000-0000-000000000000}">
          <x14:formula1>
            <xm:f>Tabelle1!$A$1:$A$5</xm:f>
          </x14:formula1>
          <xm:sqref>A8</xm:sqref>
        </x14:dataValidation>
        <x14:dataValidation type="list" allowBlank="1" showInputMessage="1" showErrorMessage="1" xr:uid="{00000000-0002-0000-0000-000001000000}">
          <x14:formula1>
            <xm:f>Tabelle1!$A$10:$A$15</xm:f>
          </x14:formula1>
          <xm:sqref>A10</xm:sqref>
        </x14:dataValidation>
        <x14:dataValidation type="list" allowBlank="1" showInputMessage="1" showErrorMessage="1" xr:uid="{00000000-0002-0000-0000-000002000000}">
          <x14:formula1>
            <xm:f>Tabelle1!$A$17:$A$18</xm:f>
          </x14:formula1>
          <xm:sqref>A13</xm:sqref>
        </x14:dataValidation>
        <x14:dataValidation type="list" allowBlank="1" showInputMessage="1" showErrorMessage="1" xr:uid="{00000000-0002-0000-0000-000003000000}">
          <x14:formula1>
            <xm:f>Tabelle1!$A$20:$A$97</xm:f>
          </x14:formula1>
          <xm:sqref>A14</xm:sqref>
        </x14:dataValidation>
        <x14:dataValidation type="list" allowBlank="1" showInputMessage="1" showErrorMessage="1" xr:uid="{00000000-0002-0000-0000-000004000000}">
          <x14:formula1>
            <xm:f>Tabelle1!$A$100:$A$106</xm:f>
          </x14:formula1>
          <xm:sqref>A16</xm:sqref>
        </x14:dataValidation>
        <x14:dataValidation type="list" allowBlank="1" showInputMessage="1" showErrorMessage="1" xr:uid="{00000000-0002-0000-0000-000007000000}">
          <x14:formula1>
            <xm:f>Tabelle1!$A$139:$A$141</xm:f>
          </x14:formula1>
          <xm:sqref>A11</xm:sqref>
        </x14:dataValidation>
        <x14:dataValidation type="list" allowBlank="1" showInputMessage="1" showErrorMessage="1" xr:uid="{00000000-0002-0000-0000-000008000000}">
          <x14:formula1>
            <xm:f>Tabelle1!$A$126:$A$131</xm:f>
          </x14:formula1>
          <xm:sqref>A22</xm:sqref>
        </x14:dataValidation>
        <x14:dataValidation type="list" allowBlank="1" showInputMessage="1" showErrorMessage="1" xr:uid="{00000000-0002-0000-0000-000006000000}">
          <x14:formula1>
            <xm:f>Tabelle1!$A$7:$A$8</xm:f>
          </x14:formula1>
          <xm:sqref>A9</xm:sqref>
        </x14:dataValidation>
        <x14:dataValidation type="list" allowBlank="1" showInputMessage="1" showErrorMessage="1" xr:uid="{42779FE6-5397-4237-A415-8A7A81F35C99}">
          <x14:formula1>
            <xm:f>Tabelle1!$A$109:$A$118</xm:f>
          </x14:formula1>
          <xm:sqref>A25</xm:sqref>
        </x14:dataValidation>
        <x14:dataValidation type="list" allowBlank="1" showInputMessage="1" showErrorMessage="1" xr:uid="{8D0DAB57-2C01-4E7B-AC2F-0B82F0B9DCAC}">
          <x14:formula1>
            <xm:f>Tabelle1!$A$136:$A$137</xm:f>
          </x14:formula1>
          <xm:sqref>A27</xm:sqref>
        </x14:dataValidation>
        <x14:dataValidation type="list" allowBlank="1" showInputMessage="1" showErrorMessage="1" xr:uid="{00000000-0002-0000-0000-000009000000}">
          <x14:formula1>
            <xm:f>Tabelle1!$A$121:$A$124</xm:f>
          </x14:formula1>
          <xm:sqref>A23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41"/>
  <sheetViews>
    <sheetView topLeftCell="A41" workbookViewId="0">
      <selection activeCell="E20" sqref="E20:E97"/>
    </sheetView>
  </sheetViews>
  <sheetFormatPr baseColWidth="10" defaultRowHeight="12.75" x14ac:dyDescent="0.2"/>
  <cols>
    <col min="1" max="1" width="66.140625" bestFit="1" customWidth="1"/>
    <col min="8" max="8" width="27.7109375" customWidth="1"/>
  </cols>
  <sheetData>
    <row r="1" spans="1:5" x14ac:dyDescent="0.2">
      <c r="A1" s="75" t="s">
        <v>69</v>
      </c>
      <c r="B1">
        <v>4</v>
      </c>
      <c r="C1" s="76">
        <v>1.22</v>
      </c>
      <c r="D1">
        <f>ROUNDUP((($B1*'MW-DP'!B$33)/25),0)</f>
        <v>0</v>
      </c>
    </row>
    <row r="2" spans="1:5" x14ac:dyDescent="0.2">
      <c r="A2" s="75" t="s">
        <v>35</v>
      </c>
      <c r="B2">
        <v>4</v>
      </c>
      <c r="C2">
        <v>1.33</v>
      </c>
      <c r="D2">
        <f>ROUNDUP((($B2*'MW-DP'!B$33)/25),0)</f>
        <v>0</v>
      </c>
    </row>
    <row r="3" spans="1:5" x14ac:dyDescent="0.2">
      <c r="A3" s="75" t="s">
        <v>37</v>
      </c>
      <c r="B3">
        <v>3.3</v>
      </c>
      <c r="C3">
        <v>2.1800000000000002</v>
      </c>
      <c r="D3">
        <f>ROUNDUP((($B3*'MW-DP'!B$33)/20),0)</f>
        <v>0</v>
      </c>
    </row>
    <row r="4" spans="1:5" x14ac:dyDescent="0.2">
      <c r="A4" s="75" t="s">
        <v>38</v>
      </c>
      <c r="B4">
        <v>3</v>
      </c>
      <c r="C4">
        <v>2.5299999999999998</v>
      </c>
      <c r="D4">
        <f>ROUNDUP((($B4*'MW-DP'!B$33)/18),0)</f>
        <v>0</v>
      </c>
    </row>
    <row r="5" spans="1:5" x14ac:dyDescent="0.2">
      <c r="A5" s="75" t="s">
        <v>57</v>
      </c>
      <c r="B5">
        <v>4.0999999999999996</v>
      </c>
      <c r="C5">
        <v>1.63</v>
      </c>
    </row>
    <row r="7" spans="1:5" x14ac:dyDescent="0.2">
      <c r="A7" s="75" t="s">
        <v>39</v>
      </c>
      <c r="C7">
        <f>'MW-DP'!H$6*0.51</f>
        <v>51</v>
      </c>
    </row>
    <row r="8" spans="1:5" x14ac:dyDescent="0.2">
      <c r="A8" s="75" t="s">
        <v>155</v>
      </c>
      <c r="C8">
        <f>'MW-DP'!H$6*0.49361</f>
        <v>49.360999999999997</v>
      </c>
      <c r="E8">
        <f>C8*1.17</f>
        <v>57.752369999999999</v>
      </c>
    </row>
    <row r="10" spans="1:5" x14ac:dyDescent="0.2">
      <c r="A10" s="75" t="s">
        <v>35</v>
      </c>
      <c r="B10">
        <v>5</v>
      </c>
      <c r="C10">
        <v>1.33</v>
      </c>
      <c r="D10">
        <f>ROUNDUP((($B10*'MW-DP'!B$33)/25),0)</f>
        <v>0</v>
      </c>
    </row>
    <row r="11" spans="1:5" x14ac:dyDescent="0.2">
      <c r="A11" s="75" t="s">
        <v>40</v>
      </c>
      <c r="B11">
        <v>5</v>
      </c>
      <c r="C11">
        <v>1.52</v>
      </c>
      <c r="D11">
        <f>ROUNDUP((($B11*'MW-DP'!B$33)/25),0)</f>
        <v>0</v>
      </c>
    </row>
    <row r="12" spans="1:5" x14ac:dyDescent="0.2">
      <c r="A12" s="75" t="s">
        <v>37</v>
      </c>
      <c r="B12">
        <v>4</v>
      </c>
      <c r="C12">
        <v>2.1800000000000002</v>
      </c>
      <c r="D12">
        <f>ROUNDUP((($B12*'MW-DP'!B$33)/20),0)</f>
        <v>0</v>
      </c>
    </row>
    <row r="13" spans="1:5" x14ac:dyDescent="0.2">
      <c r="A13" s="75" t="s">
        <v>38</v>
      </c>
      <c r="B13">
        <v>3.5</v>
      </c>
      <c r="C13">
        <v>2.5299999999999998</v>
      </c>
      <c r="D13">
        <f>ROUNDUP((($B13*'MW-DP'!B$33)/18),0)</f>
        <v>0</v>
      </c>
    </row>
    <row r="14" spans="1:5" x14ac:dyDescent="0.2">
      <c r="A14" s="75" t="s">
        <v>41</v>
      </c>
      <c r="B14">
        <v>4.2</v>
      </c>
      <c r="C14">
        <v>5.28</v>
      </c>
      <c r="D14">
        <f>ROUNDUP((($B14*'MW-DP'!B$33)/23),0)</f>
        <v>0</v>
      </c>
    </row>
    <row r="15" spans="1:5" x14ac:dyDescent="0.2">
      <c r="A15" s="75" t="s">
        <v>57</v>
      </c>
      <c r="B15">
        <v>5.2</v>
      </c>
      <c r="C15">
        <v>1.63</v>
      </c>
    </row>
    <row r="17" spans="1:5" x14ac:dyDescent="0.2">
      <c r="A17" s="75" t="s">
        <v>70</v>
      </c>
      <c r="C17">
        <v>7.37</v>
      </c>
    </row>
    <row r="18" spans="1:5" x14ac:dyDescent="0.2">
      <c r="A18" s="75" t="s">
        <v>71</v>
      </c>
      <c r="C18">
        <v>8.84</v>
      </c>
    </row>
    <row r="20" spans="1:5" x14ac:dyDescent="0.2">
      <c r="A20" t="s">
        <v>72</v>
      </c>
      <c r="B20" s="76">
        <v>3</v>
      </c>
      <c r="C20">
        <v>2.11</v>
      </c>
      <c r="D20" s="77">
        <f>ROUNDUP((($B20*'MW-DP'!B$33)/25),0)</f>
        <v>0</v>
      </c>
      <c r="E20">
        <v>30</v>
      </c>
    </row>
    <row r="21" spans="1:5" x14ac:dyDescent="0.2">
      <c r="A21" t="s">
        <v>73</v>
      </c>
      <c r="B21" s="76">
        <v>3</v>
      </c>
      <c r="C21">
        <v>2.5299999999999998</v>
      </c>
      <c r="D21" s="77">
        <f>ROUNDUP((($B21*'MW-DP'!B$33)/25),0)</f>
        <v>0</v>
      </c>
      <c r="E21">
        <v>30</v>
      </c>
    </row>
    <row r="22" spans="1:5" x14ac:dyDescent="0.2">
      <c r="A22" t="s">
        <v>74</v>
      </c>
      <c r="B22" s="76">
        <v>3.6</v>
      </c>
      <c r="C22">
        <v>2.11</v>
      </c>
      <c r="D22" s="77">
        <f>ROUNDUP((($B22*'MW-DP'!B$33)/25),0)</f>
        <v>0</v>
      </c>
      <c r="E22">
        <v>27</v>
      </c>
    </row>
    <row r="23" spans="1:5" x14ac:dyDescent="0.2">
      <c r="A23" t="s">
        <v>75</v>
      </c>
      <c r="B23" s="76">
        <v>3.6</v>
      </c>
      <c r="C23">
        <v>2.5299999999999998</v>
      </c>
      <c r="D23" s="77">
        <f>ROUNDUP((($B23*'MW-DP'!B$33)/25),0)</f>
        <v>0</v>
      </c>
      <c r="E23">
        <v>27</v>
      </c>
    </row>
    <row r="24" spans="1:5" x14ac:dyDescent="0.2">
      <c r="A24" t="s">
        <v>76</v>
      </c>
      <c r="B24" s="76">
        <v>4.5</v>
      </c>
      <c r="C24">
        <v>2.11</v>
      </c>
      <c r="D24" s="77">
        <f>ROUNDUP((($B24*'MW-DP'!B$33)/25),0)</f>
        <v>0</v>
      </c>
      <c r="E24">
        <v>24</v>
      </c>
    </row>
    <row r="25" spans="1:5" x14ac:dyDescent="0.2">
      <c r="A25" t="s">
        <v>77</v>
      </c>
      <c r="B25" s="76">
        <v>4.5</v>
      </c>
      <c r="C25">
        <v>2.5299999999999998</v>
      </c>
      <c r="D25" s="77">
        <f>ROUNDUP((($B25*'MW-DP'!B$33)/25),0)</f>
        <v>0</v>
      </c>
      <c r="E25">
        <v>24</v>
      </c>
    </row>
    <row r="26" spans="1:5" x14ac:dyDescent="0.2">
      <c r="A26" t="s">
        <v>78</v>
      </c>
      <c r="B26" s="76">
        <v>3</v>
      </c>
      <c r="C26">
        <v>2.11</v>
      </c>
      <c r="D26" s="77">
        <f>ROUNDUP((($B26*'MW-DP'!B$33)/25),0)</f>
        <v>0</v>
      </c>
      <c r="E26">
        <v>24</v>
      </c>
    </row>
    <row r="27" spans="1:5" x14ac:dyDescent="0.2">
      <c r="A27" t="s">
        <v>79</v>
      </c>
      <c r="B27" s="76">
        <v>3</v>
      </c>
      <c r="C27">
        <v>2.5299999999999998</v>
      </c>
      <c r="D27" s="77">
        <f>ROUNDUP((($B27*'MW-DP'!B$33)/25),0)</f>
        <v>0</v>
      </c>
      <c r="E27">
        <v>24</v>
      </c>
    </row>
    <row r="28" spans="1:5" x14ac:dyDescent="0.2">
      <c r="A28" t="s">
        <v>80</v>
      </c>
      <c r="B28" s="76">
        <v>2.2999999999999998</v>
      </c>
      <c r="C28">
        <v>2.11</v>
      </c>
      <c r="D28" s="77">
        <f>ROUNDUP((($B28*'MW-DP'!B$33)/25),0)</f>
        <v>0</v>
      </c>
      <c r="E28">
        <v>24</v>
      </c>
    </row>
    <row r="29" spans="1:5" x14ac:dyDescent="0.2">
      <c r="A29" t="s">
        <v>81</v>
      </c>
      <c r="B29" s="76">
        <v>2.2999999999999998</v>
      </c>
      <c r="C29">
        <v>2.5299999999999998</v>
      </c>
      <c r="D29" s="77">
        <f>ROUNDUP((($B29*'MW-DP'!B$33)/25),0)</f>
        <v>0</v>
      </c>
      <c r="E29">
        <v>24</v>
      </c>
    </row>
    <row r="30" spans="1:5" x14ac:dyDescent="0.2">
      <c r="A30" t="s">
        <v>82</v>
      </c>
      <c r="B30" s="76">
        <v>2.2999999999999998</v>
      </c>
      <c r="C30">
        <v>2.11</v>
      </c>
      <c r="D30" s="77">
        <f>ROUNDUP((($B30*'MW-DP'!B$33)/25),0)</f>
        <v>0</v>
      </c>
      <c r="E30">
        <v>13</v>
      </c>
    </row>
    <row r="31" spans="1:5" x14ac:dyDescent="0.2">
      <c r="A31" t="s">
        <v>83</v>
      </c>
      <c r="B31" s="76">
        <v>2.2999999999999998</v>
      </c>
      <c r="C31">
        <v>2.5299999999999998</v>
      </c>
      <c r="D31" s="77">
        <f>ROUNDUP((($B31*'MW-DP'!B$33)/25),0)</f>
        <v>0</v>
      </c>
      <c r="E31">
        <v>13</v>
      </c>
    </row>
    <row r="32" spans="1:5" x14ac:dyDescent="0.2">
      <c r="A32" t="s">
        <v>84</v>
      </c>
      <c r="B32" s="76">
        <v>2.9</v>
      </c>
      <c r="C32">
        <v>2.11</v>
      </c>
      <c r="D32" s="77">
        <f>ROUNDUP((($B32*'MW-DP'!B$33)/25),0)</f>
        <v>0</v>
      </c>
      <c r="E32">
        <v>16</v>
      </c>
    </row>
    <row r="33" spans="1:5" x14ac:dyDescent="0.2">
      <c r="A33" t="s">
        <v>85</v>
      </c>
      <c r="B33" s="76">
        <v>2.9</v>
      </c>
      <c r="C33">
        <v>2.5299999999999998</v>
      </c>
      <c r="D33" s="77">
        <f>ROUNDUP((($B33*'MW-DP'!B$33)/25),0)</f>
        <v>0</v>
      </c>
      <c r="E33">
        <v>16</v>
      </c>
    </row>
    <row r="34" spans="1:5" x14ac:dyDescent="0.2">
      <c r="A34" t="s">
        <v>86</v>
      </c>
      <c r="B34" s="76">
        <v>4.2</v>
      </c>
      <c r="C34">
        <v>2.11</v>
      </c>
      <c r="D34" s="77">
        <f>ROUNDUP((($B34*'MW-DP'!B$33)/25),0)</f>
        <v>0</v>
      </c>
      <c r="E34">
        <v>13</v>
      </c>
    </row>
    <row r="35" spans="1:5" x14ac:dyDescent="0.2">
      <c r="A35" t="s">
        <v>87</v>
      </c>
      <c r="B35" s="76">
        <v>4.2</v>
      </c>
      <c r="C35">
        <v>2.5299999999999998</v>
      </c>
      <c r="D35" s="77">
        <f>ROUNDUP((($B35*'MW-DP'!B$33)/25),0)</f>
        <v>0</v>
      </c>
      <c r="E35">
        <v>13</v>
      </c>
    </row>
    <row r="36" spans="1:5" x14ac:dyDescent="0.2">
      <c r="A36" t="s">
        <v>88</v>
      </c>
      <c r="B36" s="76">
        <v>2.4</v>
      </c>
      <c r="C36">
        <v>2.11</v>
      </c>
      <c r="D36" s="77">
        <f>ROUNDUP((($B36*'MW-DP'!B$33)/25),0)</f>
        <v>0</v>
      </c>
      <c r="E36">
        <v>13</v>
      </c>
    </row>
    <row r="37" spans="1:5" x14ac:dyDescent="0.2">
      <c r="A37" t="s">
        <v>89</v>
      </c>
      <c r="B37" s="76">
        <v>2.4</v>
      </c>
      <c r="C37">
        <v>2.5299999999999998</v>
      </c>
      <c r="D37" s="77">
        <f>ROUNDUP((($B37*'MW-DP'!B$33)/25),0)</f>
        <v>0</v>
      </c>
      <c r="E37">
        <v>13</v>
      </c>
    </row>
    <row r="38" spans="1:5" x14ac:dyDescent="0.2">
      <c r="A38" t="s">
        <v>90</v>
      </c>
      <c r="B38" s="76">
        <v>3.5</v>
      </c>
      <c r="C38">
        <v>2.11</v>
      </c>
      <c r="D38" s="77">
        <f>ROUNDUP((($B38*'MW-DP'!B$33)/25),0)</f>
        <v>0</v>
      </c>
      <c r="E38">
        <v>13</v>
      </c>
    </row>
    <row r="39" spans="1:5" x14ac:dyDescent="0.2">
      <c r="A39" t="s">
        <v>91</v>
      </c>
      <c r="B39" s="76">
        <v>3.5</v>
      </c>
      <c r="C39">
        <v>2.5299999999999998</v>
      </c>
      <c r="D39" s="77">
        <f>ROUNDUP((($B39*'MW-DP'!B$33)/25),0)</f>
        <v>0</v>
      </c>
      <c r="E39">
        <v>13</v>
      </c>
    </row>
    <row r="40" spans="1:5" x14ac:dyDescent="0.2">
      <c r="A40" t="s">
        <v>92</v>
      </c>
      <c r="B40" s="76">
        <v>5.6</v>
      </c>
      <c r="C40">
        <v>2.11</v>
      </c>
      <c r="D40" s="77">
        <f>ROUNDUP((($B40*'MW-DP'!B$33)/25),0)</f>
        <v>0</v>
      </c>
      <c r="E40">
        <v>11</v>
      </c>
    </row>
    <row r="41" spans="1:5" x14ac:dyDescent="0.2">
      <c r="A41" t="s">
        <v>93</v>
      </c>
      <c r="B41" s="76">
        <v>5.6</v>
      </c>
      <c r="C41">
        <v>2.5299999999999998</v>
      </c>
      <c r="D41" s="77">
        <f>ROUNDUP((($B41*'MW-DP'!B$33)/25),0)</f>
        <v>0</v>
      </c>
      <c r="E41">
        <v>11</v>
      </c>
    </row>
    <row r="42" spans="1:5" x14ac:dyDescent="0.2">
      <c r="A42" t="s">
        <v>94</v>
      </c>
      <c r="B42" s="76">
        <v>5.6</v>
      </c>
      <c r="C42">
        <v>2.2200000000000002</v>
      </c>
      <c r="D42" s="77">
        <f>ROUNDUP((($B42*'MW-DP'!B$33)/25),0)</f>
        <v>0</v>
      </c>
      <c r="E42">
        <v>27</v>
      </c>
    </row>
    <row r="43" spans="1:5" x14ac:dyDescent="0.2">
      <c r="A43" t="s">
        <v>95</v>
      </c>
      <c r="B43" s="76">
        <v>5.6</v>
      </c>
      <c r="C43">
        <v>2.66</v>
      </c>
      <c r="D43" s="77">
        <f>ROUNDUP((($B43*'MW-DP'!B$33)/25),0)</f>
        <v>0</v>
      </c>
      <c r="E43">
        <v>27</v>
      </c>
    </row>
    <row r="44" spans="1:5" x14ac:dyDescent="0.2">
      <c r="A44" s="75" t="s">
        <v>96</v>
      </c>
      <c r="B44" s="76">
        <v>3</v>
      </c>
      <c r="C44">
        <v>1.65</v>
      </c>
      <c r="D44" s="77">
        <f>ROUNDUP((($B44*'MW-DP'!B$33)/20),0)</f>
        <v>0</v>
      </c>
      <c r="E44">
        <v>13</v>
      </c>
    </row>
    <row r="45" spans="1:5" x14ac:dyDescent="0.2">
      <c r="A45" s="75" t="s">
        <v>97</v>
      </c>
      <c r="B45" s="76">
        <v>3</v>
      </c>
      <c r="C45">
        <v>1.98</v>
      </c>
      <c r="D45" s="77">
        <f>ROUNDUP((($B45*'MW-DP'!B$33)/20),0)</f>
        <v>0</v>
      </c>
      <c r="E45">
        <v>13</v>
      </c>
    </row>
    <row r="46" spans="1:5" x14ac:dyDescent="0.2">
      <c r="A46" s="75" t="s">
        <v>98</v>
      </c>
      <c r="B46" s="76">
        <v>1.9</v>
      </c>
      <c r="C46">
        <v>1.65</v>
      </c>
      <c r="D46" s="77">
        <f>ROUNDUP((($B46*'MW-DP'!B$33)/25),0)</f>
        <v>0</v>
      </c>
      <c r="E46">
        <v>13</v>
      </c>
    </row>
    <row r="47" spans="1:5" x14ac:dyDescent="0.2">
      <c r="A47" s="75" t="s">
        <v>99</v>
      </c>
      <c r="B47" s="76">
        <v>1.9</v>
      </c>
      <c r="C47">
        <v>1.98</v>
      </c>
      <c r="D47" s="77">
        <f>ROUNDUP((($B47*'MW-DP'!B$33)/25),0)</f>
        <v>0</v>
      </c>
      <c r="E47">
        <v>13</v>
      </c>
    </row>
    <row r="48" spans="1:5" x14ac:dyDescent="0.2">
      <c r="A48" s="75" t="s">
        <v>100</v>
      </c>
      <c r="B48" s="76">
        <v>2.2000000000000002</v>
      </c>
      <c r="C48">
        <v>1.65</v>
      </c>
      <c r="D48" s="77">
        <f>ROUNDUP((($B48*'MW-DP'!B$33)/25),0)</f>
        <v>0</v>
      </c>
      <c r="E48">
        <v>13</v>
      </c>
    </row>
    <row r="49" spans="1:5" x14ac:dyDescent="0.2">
      <c r="A49" s="75" t="s">
        <v>101</v>
      </c>
      <c r="B49" s="76">
        <v>2.2000000000000002</v>
      </c>
      <c r="C49">
        <v>1.98</v>
      </c>
      <c r="D49" s="77">
        <f>ROUNDUP((($B49*'MW-DP'!B$33)/25),0)</f>
        <v>0</v>
      </c>
      <c r="E49">
        <v>13</v>
      </c>
    </row>
    <row r="50" spans="1:5" x14ac:dyDescent="0.2">
      <c r="A50" s="75" t="s">
        <v>102</v>
      </c>
      <c r="B50" s="76">
        <v>3</v>
      </c>
      <c r="C50">
        <v>1.65</v>
      </c>
      <c r="D50" s="77">
        <f>ROUNDUP((($B50*'MW-DP'!B$33)/25),0)</f>
        <v>0</v>
      </c>
      <c r="E50">
        <v>13</v>
      </c>
    </row>
    <row r="51" spans="1:5" x14ac:dyDescent="0.2">
      <c r="A51" s="75" t="s">
        <v>103</v>
      </c>
      <c r="B51" s="76">
        <v>3</v>
      </c>
      <c r="C51">
        <v>1.98</v>
      </c>
      <c r="D51" s="77">
        <f>ROUNDUP((($B51*'MW-DP'!B$33)/25),0)</f>
        <v>0</v>
      </c>
      <c r="E51">
        <v>13</v>
      </c>
    </row>
    <row r="52" spans="1:5" x14ac:dyDescent="0.2">
      <c r="A52" s="75" t="s">
        <v>104</v>
      </c>
      <c r="B52" s="76">
        <v>3.8</v>
      </c>
      <c r="C52">
        <v>2.35</v>
      </c>
      <c r="D52" s="77">
        <f>ROUNDUP((($B52*'MW-DP'!B$33)/25),0)</f>
        <v>0</v>
      </c>
      <c r="E52">
        <v>12</v>
      </c>
    </row>
    <row r="53" spans="1:5" x14ac:dyDescent="0.2">
      <c r="A53" s="75" t="s">
        <v>105</v>
      </c>
      <c r="B53" s="76">
        <v>3.8</v>
      </c>
      <c r="C53">
        <v>2.82</v>
      </c>
      <c r="D53" s="77">
        <f>ROUNDUP((($B53*'MW-DP'!B$33)/25),0)</f>
        <v>0</v>
      </c>
      <c r="E53">
        <v>12</v>
      </c>
    </row>
    <row r="54" spans="1:5" x14ac:dyDescent="0.2">
      <c r="A54" s="75" t="s">
        <v>106</v>
      </c>
      <c r="B54" s="76">
        <v>2.5</v>
      </c>
      <c r="C54">
        <v>2.35</v>
      </c>
      <c r="D54" s="77">
        <f>ROUNDUP((($B54*'MW-DP'!B$33)/25),0)</f>
        <v>0</v>
      </c>
      <c r="E54">
        <v>13</v>
      </c>
    </row>
    <row r="55" spans="1:5" x14ac:dyDescent="0.2">
      <c r="A55" s="75" t="s">
        <v>156</v>
      </c>
      <c r="B55" s="76">
        <v>2.5</v>
      </c>
      <c r="C55">
        <v>2.82</v>
      </c>
      <c r="D55" s="77">
        <f>ROUNDUP((($B55*'MW-DP'!B$33)/25),0)</f>
        <v>0</v>
      </c>
      <c r="E55">
        <v>13</v>
      </c>
    </row>
    <row r="56" spans="1:5" x14ac:dyDescent="0.2">
      <c r="A56" s="75" t="s">
        <v>107</v>
      </c>
      <c r="B56" s="76">
        <v>3.4</v>
      </c>
      <c r="C56">
        <v>2.35</v>
      </c>
      <c r="D56" s="77">
        <f>ROUNDUP((($B56*'MW-DP'!B$33)/25),0)</f>
        <v>0</v>
      </c>
      <c r="E56">
        <v>13</v>
      </c>
    </row>
    <row r="57" spans="1:5" x14ac:dyDescent="0.2">
      <c r="A57" s="75" t="s">
        <v>108</v>
      </c>
      <c r="B57" s="76">
        <v>3.4</v>
      </c>
      <c r="C57">
        <v>2.82</v>
      </c>
      <c r="D57" s="77">
        <f>ROUNDUP((($B57*'MW-DP'!B$33)/25),0)</f>
        <v>0</v>
      </c>
      <c r="E57">
        <v>13</v>
      </c>
    </row>
    <row r="58" spans="1:5" x14ac:dyDescent="0.2">
      <c r="A58" s="75" t="s">
        <v>109</v>
      </c>
      <c r="B58" s="76">
        <v>2.7</v>
      </c>
      <c r="C58">
        <v>2.35</v>
      </c>
      <c r="D58" s="77">
        <f>ROUNDUP((($B58*'MW-DP'!B$33)/25),0)</f>
        <v>0</v>
      </c>
      <c r="E58">
        <v>13</v>
      </c>
    </row>
    <row r="59" spans="1:5" x14ac:dyDescent="0.2">
      <c r="A59" s="75" t="s">
        <v>110</v>
      </c>
      <c r="B59" s="76">
        <v>2.7</v>
      </c>
      <c r="C59">
        <v>2.82</v>
      </c>
      <c r="D59" s="77">
        <f>ROUNDUP((($B59*'MW-DP'!B$33)/25),0)</f>
        <v>0</v>
      </c>
      <c r="E59">
        <v>13</v>
      </c>
    </row>
    <row r="60" spans="1:5" x14ac:dyDescent="0.2">
      <c r="A60" s="75" t="s">
        <v>111</v>
      </c>
      <c r="B60" s="76">
        <v>3.6</v>
      </c>
      <c r="C60">
        <v>2.35</v>
      </c>
      <c r="D60" s="77">
        <f>ROUNDUP((($B60*'MW-DP'!B$33)/25),0)</f>
        <v>0</v>
      </c>
      <c r="E60">
        <v>13</v>
      </c>
    </row>
    <row r="61" spans="1:5" x14ac:dyDescent="0.2">
      <c r="A61" s="75" t="s">
        <v>112</v>
      </c>
      <c r="B61" s="76">
        <v>3.6</v>
      </c>
      <c r="C61">
        <v>2.82</v>
      </c>
      <c r="D61" s="77">
        <f>ROUNDUP((($B61*'MW-DP'!B$33)/25),0)</f>
        <v>0</v>
      </c>
      <c r="E61">
        <v>13</v>
      </c>
    </row>
    <row r="62" spans="1:5" x14ac:dyDescent="0.2">
      <c r="A62" s="75" t="s">
        <v>113</v>
      </c>
      <c r="B62" s="76">
        <v>4.3</v>
      </c>
      <c r="C62">
        <v>2.35</v>
      </c>
      <c r="D62" s="77">
        <f>ROUNDUP((($B62*'MW-DP'!B$33)/25),0)</f>
        <v>0</v>
      </c>
      <c r="E62">
        <v>13</v>
      </c>
    </row>
    <row r="63" spans="1:5" x14ac:dyDescent="0.2">
      <c r="A63" s="75" t="s">
        <v>114</v>
      </c>
      <c r="B63" s="76">
        <v>4.3</v>
      </c>
      <c r="C63">
        <v>2.82</v>
      </c>
      <c r="D63" s="77">
        <f>ROUNDUP((($B63*'MW-DP'!B$33)/25),0)</f>
        <v>0</v>
      </c>
      <c r="E63">
        <v>13</v>
      </c>
    </row>
    <row r="64" spans="1:5" x14ac:dyDescent="0.2">
      <c r="A64" s="75" t="s">
        <v>115</v>
      </c>
      <c r="B64" s="76">
        <v>3.8</v>
      </c>
      <c r="C64">
        <v>2.81</v>
      </c>
      <c r="D64" s="77">
        <f>ROUNDUP((($B64*'MW-DP'!B$33)/25),0)</f>
        <v>0</v>
      </c>
      <c r="E64">
        <v>13</v>
      </c>
    </row>
    <row r="65" spans="1:5" x14ac:dyDescent="0.2">
      <c r="A65" s="75" t="s">
        <v>116</v>
      </c>
      <c r="B65" s="76">
        <v>3.8</v>
      </c>
      <c r="C65">
        <v>3.38</v>
      </c>
      <c r="D65" s="77">
        <f>ROUNDUP((($B65*'MW-DP'!B$33)/25),0)</f>
        <v>0</v>
      </c>
      <c r="E65">
        <v>13</v>
      </c>
    </row>
    <row r="66" spans="1:5" x14ac:dyDescent="0.2">
      <c r="A66" s="75" t="s">
        <v>117</v>
      </c>
      <c r="B66" s="76">
        <v>4.5</v>
      </c>
      <c r="C66">
        <v>2.81</v>
      </c>
      <c r="D66" s="77">
        <f>ROUNDUP((($B66*'MW-DP'!B$33)/25),0)</f>
        <v>0</v>
      </c>
      <c r="E66">
        <v>13</v>
      </c>
    </row>
    <row r="67" spans="1:5" x14ac:dyDescent="0.2">
      <c r="A67" s="75" t="s">
        <v>118</v>
      </c>
      <c r="B67" s="76">
        <v>4.5</v>
      </c>
      <c r="C67">
        <v>3.38</v>
      </c>
      <c r="D67" s="77">
        <f>ROUNDUP((($B67*'MW-DP'!B$33)/25),0)</f>
        <v>0</v>
      </c>
      <c r="E67">
        <v>13</v>
      </c>
    </row>
    <row r="68" spans="1:5" x14ac:dyDescent="0.2">
      <c r="A68" s="75" t="s">
        <v>166</v>
      </c>
      <c r="B68" s="76">
        <v>4</v>
      </c>
      <c r="C68">
        <v>2.1800000000000002</v>
      </c>
      <c r="D68" s="77">
        <f>ROUNDUP((($B68*'MW-DP'!B$33)/25),0)</f>
        <v>0</v>
      </c>
      <c r="E68">
        <v>13</v>
      </c>
    </row>
    <row r="69" spans="1:5" x14ac:dyDescent="0.2">
      <c r="A69" s="75" t="s">
        <v>167</v>
      </c>
      <c r="B69" s="76">
        <v>4</v>
      </c>
      <c r="C69">
        <v>2.5299999999999998</v>
      </c>
      <c r="D69" s="77">
        <f>ROUNDUP((($B69*'MW-DP'!B$33)/25),0)</f>
        <v>0</v>
      </c>
      <c r="E69">
        <v>13</v>
      </c>
    </row>
    <row r="70" spans="1:5" x14ac:dyDescent="0.2">
      <c r="A70" s="75" t="s">
        <v>119</v>
      </c>
      <c r="B70" s="76">
        <v>1.9</v>
      </c>
      <c r="C70">
        <v>4.33</v>
      </c>
      <c r="D70" s="77">
        <f>ROUNDUP((($B70*'MW-DP'!B$33)/25),0)</f>
        <v>0</v>
      </c>
      <c r="E70">
        <v>12</v>
      </c>
    </row>
    <row r="71" spans="1:5" x14ac:dyDescent="0.2">
      <c r="A71" s="75" t="s">
        <v>120</v>
      </c>
      <c r="B71" s="76">
        <v>1.9</v>
      </c>
      <c r="C71">
        <v>5.19</v>
      </c>
      <c r="D71" s="77">
        <f>ROUNDUP((($B71*'MW-DP'!B$33)/25),0)</f>
        <v>0</v>
      </c>
      <c r="E71">
        <v>12</v>
      </c>
    </row>
    <row r="72" spans="1:5" x14ac:dyDescent="0.2">
      <c r="A72" s="75" t="s">
        <v>121</v>
      </c>
      <c r="B72" s="76">
        <v>2.2000000000000002</v>
      </c>
      <c r="C72">
        <v>4.33</v>
      </c>
      <c r="D72" s="77">
        <f>ROUNDUP((($B72*'MW-DP'!B$33)/25),0)</f>
        <v>0</v>
      </c>
      <c r="E72">
        <v>12</v>
      </c>
    </row>
    <row r="73" spans="1:5" x14ac:dyDescent="0.2">
      <c r="A73" s="75" t="s">
        <v>122</v>
      </c>
      <c r="B73" s="76">
        <v>2.2000000000000002</v>
      </c>
      <c r="C73">
        <v>5.19</v>
      </c>
      <c r="D73" s="77">
        <f>ROUNDUP((($B73*'MW-DP'!B$33)/25),0)</f>
        <v>0</v>
      </c>
      <c r="E73">
        <v>12</v>
      </c>
    </row>
    <row r="74" spans="1:5" x14ac:dyDescent="0.2">
      <c r="A74" s="75" t="s">
        <v>123</v>
      </c>
      <c r="B74" s="76">
        <v>3</v>
      </c>
      <c r="C74">
        <v>4.33</v>
      </c>
      <c r="D74" s="77">
        <f>ROUNDUP((($B74*'MW-DP'!B$33)/25),0)</f>
        <v>0</v>
      </c>
      <c r="E74">
        <v>13</v>
      </c>
    </row>
    <row r="75" spans="1:5" x14ac:dyDescent="0.2">
      <c r="A75" s="75" t="s">
        <v>124</v>
      </c>
      <c r="B75" s="76">
        <v>3</v>
      </c>
      <c r="C75">
        <v>5.19</v>
      </c>
      <c r="D75" s="77">
        <f>ROUNDUP((($B75*'MW-DP'!B$33)/25),0)</f>
        <v>0</v>
      </c>
      <c r="E75">
        <v>13</v>
      </c>
    </row>
    <row r="76" spans="1:5" x14ac:dyDescent="0.2">
      <c r="A76" s="75" t="s">
        <v>125</v>
      </c>
      <c r="B76" s="76">
        <v>3.8</v>
      </c>
      <c r="C76">
        <v>4.33</v>
      </c>
      <c r="D76" s="77">
        <f>ROUNDUP((($B76*'MW-DP'!B$33)/25),0)</f>
        <v>0</v>
      </c>
      <c r="E76">
        <v>13</v>
      </c>
    </row>
    <row r="77" spans="1:5" x14ac:dyDescent="0.2">
      <c r="A77" s="75" t="s">
        <v>126</v>
      </c>
      <c r="B77" s="76">
        <v>3.8</v>
      </c>
      <c r="C77">
        <v>5.19</v>
      </c>
      <c r="D77" s="77">
        <f>ROUNDUP((($B77*'MW-DP'!B$33)/25),0)</f>
        <v>0</v>
      </c>
      <c r="E77">
        <v>13</v>
      </c>
    </row>
    <row r="78" spans="1:5" x14ac:dyDescent="0.2">
      <c r="A78" s="75" t="s">
        <v>127</v>
      </c>
      <c r="B78" s="76">
        <v>2.5</v>
      </c>
      <c r="C78">
        <v>4.33</v>
      </c>
      <c r="D78" s="77">
        <f>ROUNDUP((($B78*'MW-DP'!B$33)/25),0)</f>
        <v>0</v>
      </c>
      <c r="E78">
        <v>13</v>
      </c>
    </row>
    <row r="79" spans="1:5" x14ac:dyDescent="0.2">
      <c r="A79" s="75" t="s">
        <v>128</v>
      </c>
      <c r="B79" s="76">
        <v>2.5</v>
      </c>
      <c r="C79">
        <v>5.19</v>
      </c>
      <c r="D79" s="77">
        <f>ROUNDUP((($B79*'MW-DP'!B$33)/25),0)</f>
        <v>0</v>
      </c>
      <c r="E79">
        <v>13</v>
      </c>
    </row>
    <row r="80" spans="1:5" x14ac:dyDescent="0.2">
      <c r="A80" s="75" t="s">
        <v>129</v>
      </c>
      <c r="B80" s="76">
        <v>3.4</v>
      </c>
      <c r="C80">
        <v>4.33</v>
      </c>
      <c r="D80" s="77">
        <f>ROUNDUP((($B80*'MW-DP'!B$33)/25),0)</f>
        <v>0</v>
      </c>
      <c r="E80">
        <v>13</v>
      </c>
    </row>
    <row r="81" spans="1:5" x14ac:dyDescent="0.2">
      <c r="A81" s="75" t="s">
        <v>130</v>
      </c>
      <c r="B81" s="76">
        <v>3.4</v>
      </c>
      <c r="C81">
        <v>5.19</v>
      </c>
      <c r="D81" s="77">
        <f>ROUNDUP((($B81*'MW-DP'!B$33)/25),0)</f>
        <v>0</v>
      </c>
      <c r="E81">
        <v>13</v>
      </c>
    </row>
    <row r="82" spans="1:5" x14ac:dyDescent="0.2">
      <c r="A82" s="75" t="s">
        <v>131</v>
      </c>
      <c r="B82" s="76">
        <v>2.7</v>
      </c>
      <c r="C82">
        <v>4.29</v>
      </c>
      <c r="D82" s="77">
        <f>ROUNDUP((($B82*'MW-DP'!B$33)/25),0)</f>
        <v>0</v>
      </c>
      <c r="E82">
        <v>12</v>
      </c>
    </row>
    <row r="83" spans="1:5" x14ac:dyDescent="0.2">
      <c r="A83" s="75" t="s">
        <v>132</v>
      </c>
      <c r="B83" s="76">
        <v>2.7</v>
      </c>
      <c r="C83">
        <v>5.14</v>
      </c>
      <c r="D83" s="77">
        <f>ROUNDUP((($B83*'MW-DP'!B$33)/25),0)</f>
        <v>0</v>
      </c>
      <c r="E83">
        <v>12</v>
      </c>
    </row>
    <row r="84" spans="1:5" x14ac:dyDescent="0.2">
      <c r="A84" s="75" t="s">
        <v>133</v>
      </c>
      <c r="B84" s="76">
        <v>3.6</v>
      </c>
      <c r="C84">
        <v>4.29</v>
      </c>
      <c r="D84" s="77">
        <f>ROUNDUP((($B84*'MW-DP'!B$33)/25),0)</f>
        <v>0</v>
      </c>
      <c r="E84">
        <v>13</v>
      </c>
    </row>
    <row r="85" spans="1:5" x14ac:dyDescent="0.2">
      <c r="A85" s="75" t="s">
        <v>134</v>
      </c>
      <c r="B85" s="76">
        <v>3.6</v>
      </c>
      <c r="C85">
        <v>5.14</v>
      </c>
      <c r="D85" s="77">
        <f>ROUNDUP((($B85*'MW-DP'!B$33)/25),0)</f>
        <v>0</v>
      </c>
      <c r="E85">
        <v>13</v>
      </c>
    </row>
    <row r="86" spans="1:5" x14ac:dyDescent="0.2">
      <c r="A86" s="75" t="s">
        <v>135</v>
      </c>
      <c r="B86" s="76">
        <v>4.3</v>
      </c>
      <c r="C86">
        <v>4.29</v>
      </c>
      <c r="D86" s="77">
        <f>ROUNDUP((($B86*'MW-DP'!B$33)/25),0)</f>
        <v>0</v>
      </c>
      <c r="E86">
        <v>13</v>
      </c>
    </row>
    <row r="87" spans="1:5" x14ac:dyDescent="0.2">
      <c r="A87" s="75" t="s">
        <v>136</v>
      </c>
      <c r="B87" s="76">
        <v>4.3</v>
      </c>
      <c r="C87">
        <v>5.14</v>
      </c>
      <c r="D87" s="77">
        <f>ROUNDUP((($B87*'MW-DP'!B$33)/25),0)</f>
        <v>0</v>
      </c>
      <c r="E87">
        <v>13</v>
      </c>
    </row>
    <row r="88" spans="1:5" x14ac:dyDescent="0.2">
      <c r="A88" s="75" t="s">
        <v>137</v>
      </c>
      <c r="B88" s="76">
        <v>3.8</v>
      </c>
      <c r="C88">
        <v>4.29</v>
      </c>
      <c r="D88" s="77">
        <f>ROUNDUP((($B88*'MW-DP'!B$33)/25),0)</f>
        <v>0</v>
      </c>
      <c r="E88">
        <v>13</v>
      </c>
    </row>
    <row r="89" spans="1:5" x14ac:dyDescent="0.2">
      <c r="A89" s="75" t="s">
        <v>138</v>
      </c>
      <c r="B89" s="76">
        <v>3.8</v>
      </c>
      <c r="C89">
        <v>5.14</v>
      </c>
      <c r="D89" s="77">
        <f>ROUNDUP((($B89*'MW-DP'!B$33)/25),0)</f>
        <v>0</v>
      </c>
      <c r="E89">
        <v>13</v>
      </c>
    </row>
    <row r="90" spans="1:5" x14ac:dyDescent="0.2">
      <c r="A90" s="75" t="s">
        <v>139</v>
      </c>
      <c r="B90" s="76">
        <v>4.5</v>
      </c>
      <c r="C90">
        <v>4.29</v>
      </c>
      <c r="D90" s="77">
        <f>ROUNDUP((($B90*'MW-DP'!B$33)/25),0)</f>
        <v>0</v>
      </c>
      <c r="E90">
        <v>13</v>
      </c>
    </row>
    <row r="91" spans="1:5" x14ac:dyDescent="0.2">
      <c r="A91" s="75" t="s">
        <v>140</v>
      </c>
      <c r="B91" s="76">
        <v>4.5</v>
      </c>
      <c r="C91">
        <v>5.14</v>
      </c>
      <c r="D91" s="77">
        <f>ROUNDUP((($B91*'MW-DP'!B$33)/25),0)</f>
        <v>0</v>
      </c>
      <c r="E91">
        <v>13</v>
      </c>
    </row>
    <row r="92" spans="1:5" x14ac:dyDescent="0.2">
      <c r="A92" s="75" t="s">
        <v>141</v>
      </c>
      <c r="B92" s="76">
        <v>2.2000000000000002</v>
      </c>
      <c r="C92">
        <v>5.29</v>
      </c>
      <c r="D92" s="77">
        <f>ROUNDUP((($B92*'MW-DP'!B$33)/25),0)</f>
        <v>0</v>
      </c>
      <c r="E92">
        <v>12</v>
      </c>
    </row>
    <row r="93" spans="1:5" x14ac:dyDescent="0.2">
      <c r="A93" s="75" t="s">
        <v>142</v>
      </c>
      <c r="B93" s="76">
        <v>2.2000000000000002</v>
      </c>
      <c r="C93">
        <v>6.35</v>
      </c>
      <c r="D93" s="77">
        <f>ROUNDUP((($B93*'MW-DP'!B$33)/25),0)</f>
        <v>0</v>
      </c>
      <c r="E93">
        <v>12</v>
      </c>
    </row>
    <row r="94" spans="1:5" x14ac:dyDescent="0.2">
      <c r="A94" s="75" t="s">
        <v>143</v>
      </c>
      <c r="B94" s="76">
        <v>3</v>
      </c>
      <c r="C94">
        <v>5.29</v>
      </c>
      <c r="D94" s="77">
        <f>ROUNDUP((($B94*'MW-DP'!B$33)/25),0)</f>
        <v>0</v>
      </c>
      <c r="E94">
        <v>13</v>
      </c>
    </row>
    <row r="95" spans="1:5" x14ac:dyDescent="0.2">
      <c r="A95" s="75" t="s">
        <v>144</v>
      </c>
      <c r="B95" s="76">
        <v>3</v>
      </c>
      <c r="C95">
        <v>6.35</v>
      </c>
      <c r="D95" s="77">
        <f>ROUNDUP((($B95*'MW-DP'!B$33)/25),0)</f>
        <v>0</v>
      </c>
      <c r="E95">
        <v>13</v>
      </c>
    </row>
    <row r="96" spans="1:5" x14ac:dyDescent="0.2">
      <c r="A96" s="75" t="s">
        <v>145</v>
      </c>
      <c r="B96" s="76">
        <v>3.8</v>
      </c>
      <c r="C96">
        <v>5.29</v>
      </c>
      <c r="D96" s="77">
        <f>ROUNDUP((($B96*'MW-DP'!B$33)/25),0)</f>
        <v>0</v>
      </c>
      <c r="E96">
        <v>13</v>
      </c>
    </row>
    <row r="97" spans="1:8" x14ac:dyDescent="0.2">
      <c r="A97" s="75" t="s">
        <v>146</v>
      </c>
      <c r="B97" s="76">
        <v>3.8</v>
      </c>
      <c r="C97">
        <v>6.35</v>
      </c>
      <c r="D97" s="77">
        <f>ROUNDUP((($B97*'MW-DP'!B$33)/25),0)</f>
        <v>0</v>
      </c>
      <c r="E97">
        <v>13</v>
      </c>
    </row>
    <row r="98" spans="1:8" x14ac:dyDescent="0.2">
      <c r="B98" s="76"/>
      <c r="D98" s="77"/>
    </row>
    <row r="100" spans="1:8" x14ac:dyDescent="0.2">
      <c r="A100" s="75" t="s">
        <v>147</v>
      </c>
      <c r="B100" s="76"/>
      <c r="C100">
        <v>14.65</v>
      </c>
      <c r="D100" s="77">
        <f>ROUNDUP(((0.2*'MW-DP'!B$33)/15),0)</f>
        <v>0</v>
      </c>
    </row>
    <row r="101" spans="1:8" x14ac:dyDescent="0.2">
      <c r="A101" s="75" t="s">
        <v>148</v>
      </c>
      <c r="B101" s="76"/>
      <c r="C101">
        <v>17.55</v>
      </c>
      <c r="D101" s="77">
        <f>ROUNDUP(((0.2*'MW-DP'!B$33)/15),0)</f>
        <v>0</v>
      </c>
    </row>
    <row r="102" spans="1:8" x14ac:dyDescent="0.2">
      <c r="A102" s="75" t="s">
        <v>149</v>
      </c>
      <c r="B102" s="76"/>
      <c r="C102">
        <v>22.56</v>
      </c>
      <c r="D102" s="77">
        <f>ROUNDUP(((0.2*'MW-DP'!B$33)/12.5),0)</f>
        <v>0</v>
      </c>
    </row>
    <row r="103" spans="1:8" x14ac:dyDescent="0.2">
      <c r="A103" s="75" t="s">
        <v>150</v>
      </c>
      <c r="B103" s="76"/>
      <c r="C103">
        <v>27.08</v>
      </c>
      <c r="D103" s="77">
        <f>ROUNDUP(((0.2*'MW-DP'!B$33)/12.5),0)</f>
        <v>0</v>
      </c>
    </row>
    <row r="104" spans="1:8" ht="14.25" x14ac:dyDescent="0.2">
      <c r="A104" s="75" t="s">
        <v>151</v>
      </c>
      <c r="B104" s="76"/>
      <c r="C104">
        <v>18.010000000000002</v>
      </c>
      <c r="D104" s="77">
        <f>ROUNDUP(((0.2*'MW-DP'!B$33)/12.5),0)</f>
        <v>0</v>
      </c>
      <c r="G104" s="185"/>
    </row>
    <row r="105" spans="1:8" ht="14.25" x14ac:dyDescent="0.2">
      <c r="A105" s="75" t="s">
        <v>152</v>
      </c>
      <c r="B105" s="76"/>
      <c r="C105">
        <v>21.61</v>
      </c>
      <c r="D105" s="77">
        <f>ROUNDUP(((0.2*'MW-DP'!B$33)/12.5),0)</f>
        <v>0</v>
      </c>
      <c r="G105" s="185"/>
      <c r="H105" s="185"/>
    </row>
    <row r="106" spans="1:8" x14ac:dyDescent="0.2">
      <c r="A106" s="75" t="s">
        <v>158</v>
      </c>
      <c r="B106" s="76"/>
      <c r="C106">
        <v>54.3</v>
      </c>
      <c r="D106" s="77">
        <f>ROUNDUP(((0.2*'MW-DP'!B$33)/15),0)</f>
        <v>0</v>
      </c>
    </row>
    <row r="107" spans="1:8" x14ac:dyDescent="0.2">
      <c r="A107" s="75" t="s">
        <v>159</v>
      </c>
      <c r="B107" s="76"/>
      <c r="C107">
        <v>60.33</v>
      </c>
      <c r="D107" s="77">
        <f>ROUNDUP(((0.2*'MW-DP'!B$33)/15),0)</f>
        <v>0</v>
      </c>
    </row>
    <row r="108" spans="1:8" x14ac:dyDescent="0.2">
      <c r="B108" s="76"/>
    </row>
    <row r="109" spans="1:8" x14ac:dyDescent="0.2">
      <c r="A109" s="75" t="s">
        <v>45</v>
      </c>
      <c r="B109" s="76"/>
      <c r="C109" s="99">
        <v>0.9</v>
      </c>
    </row>
    <row r="110" spans="1:8" x14ac:dyDescent="0.2">
      <c r="A110" s="75" t="s">
        <v>46</v>
      </c>
      <c r="C110" s="99">
        <v>1.06</v>
      </c>
    </row>
    <row r="111" spans="1:8" x14ac:dyDescent="0.2">
      <c r="A111" s="75" t="s">
        <v>47</v>
      </c>
      <c r="C111" s="99">
        <v>1.36</v>
      </c>
    </row>
    <row r="112" spans="1:8" x14ac:dyDescent="0.2">
      <c r="A112" s="75" t="s">
        <v>48</v>
      </c>
      <c r="C112" s="99">
        <v>1.6</v>
      </c>
    </row>
    <row r="113" spans="1:5" x14ac:dyDescent="0.2">
      <c r="A113" s="75" t="s">
        <v>49</v>
      </c>
      <c r="C113" s="99">
        <v>1.89</v>
      </c>
    </row>
    <row r="114" spans="1:5" x14ac:dyDescent="0.2">
      <c r="A114" s="75" t="s">
        <v>50</v>
      </c>
      <c r="C114" s="99">
        <v>2.3199999999999998</v>
      </c>
    </row>
    <row r="115" spans="1:5" x14ac:dyDescent="0.2">
      <c r="A115" s="75" t="s">
        <v>51</v>
      </c>
      <c r="C115" s="99">
        <v>2.76</v>
      </c>
    </row>
    <row r="116" spans="1:5" x14ac:dyDescent="0.2">
      <c r="A116" s="75" t="s">
        <v>52</v>
      </c>
      <c r="C116" s="99">
        <v>3.01</v>
      </c>
    </row>
    <row r="117" spans="1:5" x14ac:dyDescent="0.2">
      <c r="A117" s="75" t="s">
        <v>53</v>
      </c>
      <c r="C117" s="99">
        <v>3.44</v>
      </c>
    </row>
    <row r="118" spans="1:5" x14ac:dyDescent="0.2">
      <c r="A118" s="75" t="s">
        <v>54</v>
      </c>
      <c r="C118" s="99">
        <v>3.86</v>
      </c>
    </row>
    <row r="121" spans="1:5" x14ac:dyDescent="0.2">
      <c r="A121" t="s">
        <v>164</v>
      </c>
      <c r="C121">
        <v>5.38</v>
      </c>
      <c r="D121">
        <f>ROUNDUP((('MW-DP'!C$23*'MW-DP'!B$34)/2.4),0)</f>
        <v>0</v>
      </c>
    </row>
    <row r="122" spans="1:5" x14ac:dyDescent="0.2">
      <c r="A122" t="s">
        <v>157</v>
      </c>
      <c r="C122">
        <v>5.2</v>
      </c>
      <c r="D122">
        <f>ROUNDUP((('MW-DP'!C$23*'MW-DP'!B$34)/2.4),0)</f>
        <v>0</v>
      </c>
    </row>
    <row r="123" spans="1:5" x14ac:dyDescent="0.2">
      <c r="A123" t="s">
        <v>165</v>
      </c>
      <c r="C123">
        <v>11.42</v>
      </c>
      <c r="D123">
        <f>ROUNDUP((('MW-DP'!C$23*'MW-DP'!B$34)/2.4),0)</f>
        <v>0</v>
      </c>
    </row>
    <row r="124" spans="1:5" x14ac:dyDescent="0.2">
      <c r="A124" t="s">
        <v>58</v>
      </c>
      <c r="C124">
        <v>6.2</v>
      </c>
      <c r="D124">
        <f>ROUNDUP((('MW-DP'!C$23*'MW-DP'!B$34)/2.4),0)</f>
        <v>0</v>
      </c>
    </row>
    <row r="127" spans="1:5" x14ac:dyDescent="0.2">
      <c r="A127" t="s">
        <v>59</v>
      </c>
      <c r="C127">
        <v>2.82</v>
      </c>
      <c r="D127">
        <f>ROUNDUP((('MW-DP'!C$22*'MW-DP'!B$36)/12),0)</f>
        <v>0</v>
      </c>
      <c r="E127">
        <v>12</v>
      </c>
    </row>
    <row r="128" spans="1:5" x14ac:dyDescent="0.2">
      <c r="A128" t="s">
        <v>60</v>
      </c>
      <c r="C128">
        <v>5.0199999999999996</v>
      </c>
      <c r="D128">
        <f>ROUNDUP((('MW-DP'!C$22*'MW-DP'!B$36)/8),0)</f>
        <v>0</v>
      </c>
      <c r="E128">
        <v>8</v>
      </c>
    </row>
    <row r="129" spans="1:5" x14ac:dyDescent="0.2">
      <c r="A129" t="s">
        <v>36</v>
      </c>
      <c r="C129">
        <v>1.84</v>
      </c>
      <c r="D129">
        <f>ROUNDUP((('MW-DP'!C$22*'MW-DP'!B$36)/18),0)</f>
        <v>0</v>
      </c>
      <c r="E129">
        <v>18</v>
      </c>
    </row>
    <row r="130" spans="1:5" x14ac:dyDescent="0.2">
      <c r="A130" t="s">
        <v>61</v>
      </c>
      <c r="C130">
        <v>2.67</v>
      </c>
      <c r="D130">
        <f>ROUNDUP((('MW-DP'!C$22*'MW-DP'!B$36)/12),0)</f>
        <v>0</v>
      </c>
      <c r="E130">
        <v>12</v>
      </c>
    </row>
    <row r="131" spans="1:5" x14ac:dyDescent="0.2">
      <c r="A131" t="s">
        <v>62</v>
      </c>
      <c r="C131">
        <v>5.55</v>
      </c>
      <c r="D131">
        <f>ROUNDUP((('MW-DP'!C$22*'MW-DP'!B$36)/9),0)</f>
        <v>0</v>
      </c>
      <c r="E131">
        <v>9</v>
      </c>
    </row>
    <row r="134" spans="1:5" x14ac:dyDescent="0.2">
      <c r="A134" s="75" t="s">
        <v>63</v>
      </c>
      <c r="C134">
        <v>0</v>
      </c>
      <c r="D134">
        <v>0</v>
      </c>
      <c r="E134">
        <v>0</v>
      </c>
    </row>
    <row r="135" spans="1:5" x14ac:dyDescent="0.2">
      <c r="A135" s="98" t="s">
        <v>68</v>
      </c>
      <c r="C135">
        <f>113.02/500</f>
        <v>0.22603999999999999</v>
      </c>
      <c r="D135">
        <f>ROUNDUP((('MW-DP'!C$26*'MW-DP'!B$37)/500),0)</f>
        <v>0</v>
      </c>
      <c r="E135" t="s">
        <v>11</v>
      </c>
    </row>
    <row r="136" spans="1:5" x14ac:dyDescent="0.2">
      <c r="A136" s="75" t="s">
        <v>67</v>
      </c>
      <c r="C136">
        <f>1.36+(30.11/100)</f>
        <v>1.6611</v>
      </c>
      <c r="D136">
        <f>ROUNDUP((('MW-DP'!C$27*'MW-DP'!B$37)/100),0)</f>
        <v>0</v>
      </c>
      <c r="E136" t="s">
        <v>65</v>
      </c>
    </row>
    <row r="137" spans="1:5" x14ac:dyDescent="0.2">
      <c r="A137" s="75" t="s">
        <v>64</v>
      </c>
      <c r="C137">
        <v>0.64</v>
      </c>
      <c r="D137">
        <f>ROUNDUP((('MW-DP'!C$27*'MW-DP'!B$37)/100),0)</f>
        <v>0</v>
      </c>
      <c r="E137" t="s">
        <v>66</v>
      </c>
    </row>
    <row r="140" spans="1:5" x14ac:dyDescent="0.2">
      <c r="A140" s="75" t="s">
        <v>153</v>
      </c>
      <c r="C140">
        <v>2.5</v>
      </c>
    </row>
    <row r="141" spans="1:5" x14ac:dyDescent="0.2">
      <c r="A141" s="75" t="s">
        <v>154</v>
      </c>
      <c r="C141">
        <v>2.68</v>
      </c>
    </row>
  </sheetData>
  <pageMargins left="0.7" right="0.7" top="0.78740157499999996" bottom="0.78740157499999996" header="0.3" footer="0.3"/>
  <customProperties>
    <customPr name="_pios_id" r:id="rId1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MW-DP</vt:lpstr>
      <vt:lpstr>Tabelle1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Verkauf</dc:creator>
  <cp:lastModifiedBy>Philipp Koch</cp:lastModifiedBy>
  <cp:lastPrinted>2021-12-23T13:45:29Z</cp:lastPrinted>
  <dcterms:created xsi:type="dcterms:W3CDTF">1998-08-14T12:07:20Z</dcterms:created>
  <dcterms:modified xsi:type="dcterms:W3CDTF">2025-01-21T15:35:39Z</dcterms:modified>
</cp:coreProperties>
</file>