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57" documentId="8_{A57106AF-E4FF-49ED-B028-DD5964ACC58A}" xr6:coauthVersionLast="47" xr6:coauthVersionMax="47" xr10:uidLastSave="{32D067AF-A4C6-49B3-B923-43D02EA97485}"/>
  <bookViews>
    <workbookView xWindow="-120" yWindow="-120" windowWidth="29040" windowHeight="15720" xr2:uid="{00000000-000D-0000-FFFF-FFFF00000000}"/>
  </bookViews>
  <sheets>
    <sheet name="EPS-Perimeter-DP" sheetId="2" r:id="rId1"/>
    <sheet name="Tabelle1" sheetId="3" state="hidden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3" l="1"/>
  <c r="C65" i="3"/>
  <c r="C9" i="3"/>
  <c r="C10" i="3"/>
  <c r="J19" i="2"/>
  <c r="J13" i="2"/>
  <c r="J16" i="2" s="1"/>
  <c r="F40" i="2"/>
  <c r="G21" i="2"/>
  <c r="D66" i="3"/>
  <c r="D65" i="3"/>
  <c r="G20" i="2"/>
  <c r="G19" i="2" l="1"/>
  <c r="H19" i="2" s="1"/>
  <c r="I19" i="2" s="1"/>
  <c r="H21" i="2"/>
  <c r="I21" i="2" s="1"/>
  <c r="H20" i="2"/>
  <c r="I20" i="2" s="1"/>
  <c r="G14" i="2"/>
  <c r="C14" i="2"/>
  <c r="G12" i="2"/>
  <c r="E12" i="2"/>
  <c r="L19" i="2" l="1"/>
  <c r="H12" i="2"/>
  <c r="I12" i="2" s="1"/>
  <c r="L12" i="2" s="1"/>
  <c r="A39" i="2" l="1"/>
  <c r="G11" i="2"/>
  <c r="G10" i="2" l="1"/>
  <c r="C10" i="2"/>
  <c r="D13" i="3"/>
  <c r="G8" i="2"/>
  <c r="C8" i="2"/>
  <c r="D5" i="3" l="1"/>
  <c r="D4" i="3" l="1"/>
  <c r="D6" i="3" l="1"/>
  <c r="D33" i="3" l="1"/>
  <c r="D31" i="3"/>
  <c r="D30" i="3"/>
  <c r="D32" i="3"/>
  <c r="D29" i="3"/>
  <c r="A43" i="2"/>
  <c r="G25" i="2"/>
  <c r="F43" i="2" l="1"/>
  <c r="D16" i="3"/>
  <c r="D17" i="3"/>
  <c r="D18" i="3"/>
  <c r="F39" i="2" l="1"/>
  <c r="D15" i="3"/>
  <c r="D14" i="3"/>
  <c r="D3" i="3"/>
  <c r="D2" i="3"/>
  <c r="F41" i="2"/>
  <c r="A41" i="2"/>
  <c r="A38" i="2"/>
  <c r="F38" i="2" s="1"/>
  <c r="A37" i="2"/>
  <c r="F37" i="2" l="1"/>
  <c r="A36" i="2"/>
  <c r="G15" i="2"/>
  <c r="G9" i="2"/>
  <c r="H9" i="2" l="1"/>
  <c r="I9" i="2" s="1"/>
  <c r="F42" i="2"/>
  <c r="F36" i="2"/>
  <c r="E25" i="2"/>
  <c r="H25" i="2" s="1"/>
  <c r="I25" i="2" s="1"/>
  <c r="E24" i="2"/>
  <c r="H24" i="2" s="1"/>
  <c r="I24" i="2" s="1"/>
  <c r="H8" i="2"/>
  <c r="I8" i="2" s="1"/>
  <c r="E10" i="2"/>
  <c r="H10" i="2" s="1"/>
  <c r="I10" i="2" s="1"/>
  <c r="E11" i="2"/>
  <c r="H11" i="2" s="1"/>
  <c r="I11" i="2" s="1"/>
  <c r="E14" i="2"/>
  <c r="H14" i="2" s="1"/>
  <c r="I14" i="2" s="1"/>
  <c r="E15" i="2"/>
  <c r="H15" i="2" s="1"/>
  <c r="I15" i="2" s="1"/>
  <c r="L15" i="2" s="1"/>
  <c r="L10" i="2" l="1"/>
  <c r="L8" i="2"/>
  <c r="I13" i="2"/>
  <c r="I16" i="2" s="1"/>
  <c r="L14" i="2"/>
  <c r="L25" i="2"/>
  <c r="F31" i="2"/>
  <c r="L24" i="2"/>
  <c r="F30" i="2"/>
  <c r="L13" i="2" l="1"/>
  <c r="L16" i="2" s="1"/>
  <c r="F29" i="2"/>
  <c r="F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19" authorId="1" shapeId="0" xr:uid="{18B461BC-AA53-47CB-A59D-F14B25C37881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<sst xmlns="http://schemas.openxmlformats.org/spreadsheetml/2006/main" count="136" uniqueCount="91">
  <si>
    <t>Zeitauf-wand</t>
  </si>
  <si>
    <t>kg</t>
  </si>
  <si>
    <t>m²</t>
  </si>
  <si>
    <t>l</t>
  </si>
  <si>
    <t>Zubehör</t>
  </si>
  <si>
    <t>Preis Grundaufbau</t>
  </si>
  <si>
    <t>Dämmstärke</t>
  </si>
  <si>
    <t>m</t>
  </si>
  <si>
    <t>Bedarf/m²                ca.</t>
  </si>
  <si>
    <t>/m²</t>
  </si>
  <si>
    <t>/m</t>
  </si>
  <si>
    <t>min</t>
  </si>
  <si>
    <t>/je</t>
  </si>
  <si>
    <t>%</t>
  </si>
  <si>
    <t>Rabatt-satz</t>
  </si>
  <si>
    <t>Gesamt €</t>
  </si>
  <si>
    <t>Preis incl. Anstrich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</si>
  <si>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</si>
  <si>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</si>
  <si>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</si>
  <si>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</si>
  <si>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</si>
  <si>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Materialkosten</t>
  </si>
  <si>
    <t>lfm</t>
  </si>
  <si>
    <t>Gebäudeecken</t>
  </si>
  <si>
    <t>Materialbedarf</t>
  </si>
  <si>
    <t>Sockelfläche</t>
  </si>
  <si>
    <t>Fugendichtband</t>
  </si>
  <si>
    <t>Lohn + Material</t>
  </si>
  <si>
    <t>HECK K+A grau</t>
  </si>
  <si>
    <t>HECK Fugendichtband 14/2-6</t>
  </si>
  <si>
    <t>HECK EPS-Perimeter-Dämmplatte 30-035</t>
  </si>
  <si>
    <t>HECK K+A weiß</t>
  </si>
  <si>
    <t>HECK K+A PLUS weiß</t>
  </si>
  <si>
    <t>HECK K+A LIGHT 085</t>
  </si>
  <si>
    <t>HECK K+A ZF 70</t>
  </si>
  <si>
    <t>(Kleben)</t>
  </si>
  <si>
    <t>(Armieren)</t>
  </si>
  <si>
    <t>Netto              €</t>
  </si>
  <si>
    <t>HECK Gewebeeckwinkel PVC (100x150 mm)</t>
  </si>
  <si>
    <t>HECK Fugendichtband 20/2-6</t>
  </si>
  <si>
    <t>HECK Fugendichtband 20/4-9</t>
  </si>
  <si>
    <t>HECK Fugendichtband 14/3-9</t>
  </si>
  <si>
    <t>HECK Fugendichtband 14/5-12</t>
  </si>
  <si>
    <t>HECK K+A A1</t>
  </si>
  <si>
    <t>HECK EPS Sockel-Dämmplatte 30-032</t>
  </si>
  <si>
    <t>HECK Sockelsystem EPS</t>
  </si>
  <si>
    <t>HECK 2K DB LIGHT (2K-Dickbeschichtung)</t>
  </si>
  <si>
    <t>HECK KLM CER (Klebemörtel Keramik)</t>
  </si>
  <si>
    <t>HECK DS FLEX LIGHT (Dichtungsschlämme flexibel)</t>
  </si>
  <si>
    <t>HECK AGG (Armierungsgewebe fein)</t>
  </si>
  <si>
    <t>HECK AGG A1 (Armierungsgewebe A1 fein)</t>
  </si>
  <si>
    <t>HECK SILCO FF (Silicon-Fassadenfinish) weiß</t>
  </si>
  <si>
    <t>HECK SILCO FF (Silicon-Fassadenfinish) farbig (HBW 100-70)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</si>
  <si>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</si>
  <si>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</si>
  <si>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</si>
  <si>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</si>
  <si>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</si>
  <si>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</si>
  <si>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</si>
  <si>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</si>
  <si>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</si>
  <si>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</si>
  <si>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</si>
  <si>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</si>
  <si>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</si>
  <si>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</si>
  <si>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</si>
  <si>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</si>
  <si>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</si>
  <si>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</si>
  <si>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Verdübelung</t>
  </si>
  <si>
    <t>HECK STR-U 2G Dübellänge 215 mm</t>
  </si>
  <si>
    <t>z. B.</t>
  </si>
  <si>
    <t>St.</t>
  </si>
  <si>
    <t>HECK STR-Verschlusselement Steinwolle</t>
  </si>
  <si>
    <t>HECK STR-U 2G Dübellänge 135 mm</t>
  </si>
  <si>
    <t>HECK STR-U 2G Dübellänge 155 mm</t>
  </si>
  <si>
    <t>HECK STR-U 2G Dübellänge 175 mm</t>
  </si>
  <si>
    <t>HECK STR-U 2G Dübellänge 195 mm</t>
  </si>
  <si>
    <t>HECK STR-U 2G Dübellänge 235 mm</t>
  </si>
  <si>
    <t>HECK STR-U 2G Dübellänge 255 mm</t>
  </si>
  <si>
    <t>HECK STR-U 2G Dübellänge 275 mm</t>
  </si>
  <si>
    <t>HECK STR-U 2G Dübellänge 295 mm</t>
  </si>
  <si>
    <t>HECK STR-U 2G Dübellänge 315 mm</t>
  </si>
  <si>
    <t>HECK Dübelteller VT2G + HECK STR-Rondelle MW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</si>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</sst>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DM&quot;_-;\-* #,##0.00\ &quot;DM&quot;_-;_-* &quot;-&quot;??\ &quot;DM&quot;_-;_-@_-"/>
    <numFmt numFmtId="165" formatCode="0.0"/>
    <numFmt numFmtId="166" formatCode="#,##0.00\ \€"/>
    <numFmt numFmtId="167" formatCode="0\ &quot;qm&quot;"/>
    <numFmt numFmtId="168" formatCode="0\ &quot;Rollen&quot;"/>
    <numFmt numFmtId="169" formatCode="0\ &quot;Gebinde&quot;"/>
    <numFmt numFmtId="170" formatCode="0\ &quot;Stück&quot;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4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2" fontId="15" fillId="0" borderId="10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2" fontId="15" fillId="0" borderId="5" xfId="1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1" fontId="15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166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166" fontId="16" fillId="2" borderId="14" xfId="1" applyNumberFormat="1" applyFont="1" applyFill="1" applyBorder="1" applyAlignment="1">
      <alignment horizontal="center" vertical="center"/>
    </xf>
    <xf numFmtId="166" fontId="15" fillId="0" borderId="15" xfId="1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6" fontId="15" fillId="0" borderId="14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4" xfId="0" applyNumberFormat="1" applyFont="1" applyFill="1" applyBorder="1" applyAlignment="1">
      <alignment horizontal="left" vertical="center"/>
    </xf>
    <xf numFmtId="166" fontId="14" fillId="3" borderId="14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15" fillId="4" borderId="1" xfId="0" applyFont="1" applyFill="1" applyBorder="1" applyAlignment="1">
      <alignment horizontal="left" vertical="center" wrapText="1"/>
    </xf>
    <xf numFmtId="2" fontId="15" fillId="0" borderId="5" xfId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49" fontId="22" fillId="0" borderId="0" xfId="0" applyNumberFormat="1" applyFont="1" applyAlignment="1">
      <alignment vertical="center" wrapText="1"/>
    </xf>
    <xf numFmtId="2" fontId="21" fillId="0" borderId="0" xfId="0" applyNumberFormat="1" applyFont="1"/>
    <xf numFmtId="0" fontId="0" fillId="0" borderId="0" xfId="0" quotePrefix="1"/>
    <xf numFmtId="166" fontId="15" fillId="0" borderId="15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right" vertical="center"/>
    </xf>
    <xf numFmtId="1" fontId="15" fillId="0" borderId="32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166" fontId="15" fillId="0" borderId="15" xfId="1" applyNumberFormat="1" applyFont="1" applyFill="1" applyBorder="1" applyAlignment="1">
      <alignment horizontal="center" vertical="center"/>
    </xf>
    <xf numFmtId="166" fontId="15" fillId="0" borderId="33" xfId="1" applyNumberFormat="1" applyFont="1" applyFill="1" applyBorder="1" applyAlignment="1">
      <alignment horizontal="center" vertical="center"/>
    </xf>
    <xf numFmtId="166" fontId="15" fillId="0" borderId="34" xfId="1" applyNumberFormat="1" applyFont="1" applyBorder="1" applyAlignment="1">
      <alignment horizontal="center" vertical="center"/>
    </xf>
    <xf numFmtId="166" fontId="7" fillId="0" borderId="30" xfId="1" applyNumberFormat="1" applyFont="1" applyBorder="1" applyAlignment="1">
      <alignment horizontal="right"/>
    </xf>
    <xf numFmtId="166" fontId="7" fillId="0" borderId="31" xfId="1" applyNumberFormat="1" applyFont="1" applyBorder="1" applyAlignment="1">
      <alignment horizontal="right"/>
    </xf>
    <xf numFmtId="14" fontId="15" fillId="0" borderId="12" xfId="0" applyNumberFormat="1" applyFont="1" applyBorder="1" applyAlignment="1">
      <alignment horizontal="left"/>
    </xf>
    <xf numFmtId="0" fontId="0" fillId="0" borderId="12" xfId="0" applyBorder="1"/>
    <xf numFmtId="169" fontId="18" fillId="0" borderId="12" xfId="0" applyNumberFormat="1" applyFont="1" applyBorder="1"/>
    <xf numFmtId="0" fontId="15" fillId="0" borderId="12" xfId="0" applyFont="1" applyBorder="1" applyAlignment="1">
      <alignment horizontal="left"/>
    </xf>
    <xf numFmtId="169" fontId="18" fillId="0" borderId="12" xfId="0" applyNumberFormat="1" applyFont="1" applyBorder="1" applyAlignment="1">
      <alignment horizontal="right"/>
    </xf>
    <xf numFmtId="168" fontId="18" fillId="0" borderId="12" xfId="0" applyNumberFormat="1" applyFont="1" applyBorder="1"/>
    <xf numFmtId="0" fontId="0" fillId="0" borderId="0" xfId="0" applyAlignment="1">
      <alignment horizontal="right" vertical="center"/>
    </xf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right" vertical="center"/>
    </xf>
    <xf numFmtId="1" fontId="15" fillId="0" borderId="2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" fontId="15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170" fontId="18" fillId="0" borderId="6" xfId="0" applyNumberFormat="1" applyFont="1" applyBorder="1"/>
    <xf numFmtId="170" fontId="18" fillId="0" borderId="5" xfId="0" applyNumberFormat="1" applyFont="1" applyBorder="1"/>
    <xf numFmtId="2" fontId="8" fillId="0" borderId="6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6" fontId="17" fillId="0" borderId="6" xfId="0" applyNumberFormat="1" applyFont="1" applyBorder="1" applyAlignment="1">
      <alignment horizontal="right"/>
    </xf>
    <xf numFmtId="166" fontId="17" fillId="0" borderId="5" xfId="0" applyNumberFormat="1" applyFont="1" applyBorder="1" applyAlignment="1">
      <alignment horizontal="right"/>
    </xf>
    <xf numFmtId="0" fontId="15" fillId="0" borderId="0" xfId="0" applyFont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7" fillId="0" borderId="6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7" fontId="18" fillId="0" borderId="12" xfId="0" applyNumberFormat="1" applyFont="1" applyBorder="1" applyAlignment="1">
      <alignment horizontal="right"/>
    </xf>
    <xf numFmtId="168" fontId="18" fillId="0" borderId="6" xfId="0" applyNumberFormat="1" applyFont="1" applyBorder="1"/>
    <xf numFmtId="168" fontId="18" fillId="0" borderId="5" xfId="0" applyNumberFormat="1" applyFont="1" applyBorder="1"/>
    <xf numFmtId="169" fontId="18" fillId="0" borderId="6" xfId="0" applyNumberFormat="1" applyFont="1" applyBorder="1"/>
    <xf numFmtId="169" fontId="18" fillId="0" borderId="5" xfId="0" applyNumberFormat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koc\Downloads\MW_geklebt_geduebelt%20(14).xlsx" TargetMode="External"/><Relationship Id="rId1" Type="http://schemas.openxmlformats.org/officeDocument/2006/relationships/externalLinkPath" Target="file:///C:\Users\phkoc\Downloads\MW_geklebt_geduebel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W-DP"/>
      <sheetName val="Tabelle1"/>
    </sheetNames>
    <sheetDataSet>
      <sheetData sheetId="0">
        <row r="26">
          <cell r="C26">
            <v>4</v>
          </cell>
        </row>
        <row r="35">
          <cell r="B3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showGridLines="0" tabSelected="1" workbookViewId="0">
      <selection activeCell="D9" sqref="D9"/>
    </sheetView>
  </sheetViews>
  <sheetFormatPr baseColWidth="10" defaultRowHeight="12.75" x14ac:dyDescent="0.2"/>
  <cols>
    <col min="1" max="1" width="46.42578125" style="9" customWidth="1"/>
    <col min="2" max="2" width="4.7109375" style="9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3" s="3" customFormat="1" ht="14.1" customHeight="1" x14ac:dyDescent="0.25">
      <c r="A1" s="47"/>
      <c r="B1" s="11"/>
      <c r="C1" s="2"/>
      <c r="D1" s="2"/>
      <c r="E1" s="2"/>
      <c r="F1" s="46"/>
      <c r="H1" s="48"/>
      <c r="I1" s="48"/>
      <c r="J1" s="48"/>
      <c r="K1" s="48"/>
      <c r="L1" s="48"/>
      <c r="M1" s="48"/>
    </row>
    <row r="2" spans="1:13" s="3" customFormat="1" ht="14.1" customHeight="1" x14ac:dyDescent="0.25">
      <c r="A2" s="7"/>
      <c r="B2" s="7"/>
      <c r="C2" s="2"/>
      <c r="D2" s="2"/>
      <c r="E2" s="2"/>
      <c r="F2" s="2"/>
      <c r="G2" s="2"/>
    </row>
    <row r="3" spans="1:13" s="3" customFormat="1" ht="14.1" customHeight="1" x14ac:dyDescent="0.25">
      <c r="A3" s="7"/>
      <c r="B3" s="7"/>
      <c r="C3" s="2"/>
      <c r="D3" s="2"/>
      <c r="E3" s="2"/>
      <c r="F3" s="2"/>
      <c r="G3" s="2"/>
      <c r="J3" s="16"/>
    </row>
    <row r="4" spans="1:13" ht="14.1" customHeight="1" x14ac:dyDescent="0.2">
      <c r="A4" s="8"/>
      <c r="B4" s="8"/>
      <c r="C4" s="1"/>
      <c r="D4" s="1"/>
      <c r="E4" s="1"/>
      <c r="F4" s="1"/>
      <c r="G4" s="1"/>
      <c r="J4" s="111"/>
      <c r="K4" s="111"/>
      <c r="L4" s="15"/>
      <c r="M4" s="15"/>
    </row>
    <row r="5" spans="1:13" ht="14.1" customHeight="1" thickBot="1" x14ac:dyDescent="0.25"/>
    <row r="6" spans="1:13" s="4" customFormat="1" ht="24" customHeight="1" x14ac:dyDescent="0.2">
      <c r="A6" s="112" t="s">
        <v>46</v>
      </c>
      <c r="B6" s="116" t="s">
        <v>6</v>
      </c>
      <c r="C6" s="117"/>
      <c r="D6" s="118"/>
      <c r="E6" s="116" t="s">
        <v>14</v>
      </c>
      <c r="F6" s="118"/>
      <c r="G6" s="126" t="s">
        <v>90</v>
      </c>
      <c r="H6" s="124">
        <v>100</v>
      </c>
      <c r="I6" s="125"/>
      <c r="J6" s="114" t="s">
        <v>0</v>
      </c>
      <c r="K6" s="115"/>
      <c r="L6" s="60" t="s">
        <v>28</v>
      </c>
    </row>
    <row r="7" spans="1:13" s="4" customFormat="1" ht="24" customHeight="1" x14ac:dyDescent="0.2">
      <c r="A7" s="113"/>
      <c r="B7" s="119" t="s">
        <v>8</v>
      </c>
      <c r="C7" s="120"/>
      <c r="D7" s="121"/>
      <c r="E7" s="122"/>
      <c r="F7" s="123"/>
      <c r="G7" s="127"/>
      <c r="H7" s="17" t="s">
        <v>38</v>
      </c>
      <c r="I7" s="18" t="s">
        <v>15</v>
      </c>
      <c r="J7" s="19" t="s">
        <v>11</v>
      </c>
      <c r="K7" s="20" t="s">
        <v>12</v>
      </c>
      <c r="L7" s="61">
        <v>0</v>
      </c>
    </row>
    <row r="8" spans="1:13" s="4" customFormat="1" ht="24" customHeight="1" x14ac:dyDescent="0.2">
      <c r="A8" s="85" t="s">
        <v>29</v>
      </c>
      <c r="B8" s="22"/>
      <c r="C8" s="23">
        <f>VLOOKUP(A8,Tabelle1!A2:B6,2,0)</f>
        <v>4</v>
      </c>
      <c r="D8" s="24" t="s">
        <v>1</v>
      </c>
      <c r="E8" s="25">
        <v>0</v>
      </c>
      <c r="F8" s="24" t="s">
        <v>13</v>
      </c>
      <c r="G8" s="86">
        <f>VLOOKUP(A8,Tabelle1!A2:C6,3,0)</f>
        <v>1.33</v>
      </c>
      <c r="H8" s="26">
        <f>G8-G8*E8/100</f>
        <v>1.33</v>
      </c>
      <c r="I8" s="27">
        <f>PRODUCT(C8,H8)</f>
        <v>5.32</v>
      </c>
      <c r="J8" s="128">
        <v>30</v>
      </c>
      <c r="K8" s="98" t="s">
        <v>9</v>
      </c>
      <c r="L8" s="94">
        <f>SUM(I8+I9+(J8*L7))</f>
        <v>42.02</v>
      </c>
    </row>
    <row r="9" spans="1:13" s="4" customFormat="1" ht="24" customHeight="1" x14ac:dyDescent="0.2">
      <c r="A9" s="85" t="s">
        <v>31</v>
      </c>
      <c r="B9" s="22"/>
      <c r="C9" s="29">
        <v>1</v>
      </c>
      <c r="D9" s="24" t="s">
        <v>2</v>
      </c>
      <c r="E9" s="25">
        <v>0</v>
      </c>
      <c r="F9" s="24" t="s">
        <v>13</v>
      </c>
      <c r="G9" s="49">
        <f>VLOOKUP(A9,Tabelle1!A9:C10,3,0)</f>
        <v>36.700000000000003</v>
      </c>
      <c r="H9" s="26">
        <f>G9-G9*E9/100</f>
        <v>36.700000000000003</v>
      </c>
      <c r="I9" s="27">
        <f>PRODUCT(C9,H9)</f>
        <v>36.700000000000003</v>
      </c>
      <c r="J9" s="129"/>
      <c r="K9" s="99"/>
      <c r="L9" s="95"/>
    </row>
    <row r="10" spans="1:13" s="4" customFormat="1" ht="24" customHeight="1" x14ac:dyDescent="0.2">
      <c r="A10" s="85" t="s">
        <v>29</v>
      </c>
      <c r="B10" s="22"/>
      <c r="C10" s="23">
        <f>VLOOKUP(A10,Tabelle1!A13:B18,2,0)</f>
        <v>5</v>
      </c>
      <c r="D10" s="24" t="s">
        <v>1</v>
      </c>
      <c r="E10" s="25" t="str">
        <f>REPT(E8,1)</f>
        <v>0</v>
      </c>
      <c r="F10" s="24" t="s">
        <v>13</v>
      </c>
      <c r="G10" s="86">
        <f>VLOOKUP(A10,Tabelle1!A13:C18,3,0)</f>
        <v>1.33</v>
      </c>
      <c r="H10" s="26">
        <f>G10-G10*E10/100</f>
        <v>1.33</v>
      </c>
      <c r="I10" s="27">
        <f>PRODUCT(C10,H10)</f>
        <v>6.65</v>
      </c>
      <c r="J10" s="96">
        <v>16</v>
      </c>
      <c r="K10" s="98" t="s">
        <v>9</v>
      </c>
      <c r="L10" s="100">
        <f>SUM(I10+I11+(J10*L7))</f>
        <v>9.4</v>
      </c>
    </row>
    <row r="11" spans="1:13" s="4" customFormat="1" ht="24" customHeight="1" x14ac:dyDescent="0.2">
      <c r="A11" s="85" t="s">
        <v>50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13</v>
      </c>
      <c r="G11" s="86">
        <f>VLOOKUP(A11,Tabelle1!A20:C21,3,0)</f>
        <v>2.5</v>
      </c>
      <c r="H11" s="26">
        <f>G11-G11*E11/100</f>
        <v>2.5</v>
      </c>
      <c r="I11" s="27">
        <f>PRODUCT(C11,H11)</f>
        <v>2.75</v>
      </c>
      <c r="J11" s="97"/>
      <c r="K11" s="99"/>
      <c r="L11" s="101"/>
    </row>
    <row r="12" spans="1:13" s="4" customFormat="1" ht="24" customHeight="1" x14ac:dyDescent="0.2">
      <c r="A12" s="88" t="s">
        <v>49</v>
      </c>
      <c r="B12" s="32"/>
      <c r="C12" s="23">
        <v>2.8</v>
      </c>
      <c r="D12" s="24" t="s">
        <v>1</v>
      </c>
      <c r="E12" s="25" t="str">
        <f>REPT(E9,1)</f>
        <v>0</v>
      </c>
      <c r="F12" s="24" t="s">
        <v>13</v>
      </c>
      <c r="G12" s="86">
        <f>VLOOKUP(A12,Tabelle1!$A$2:$C$55,3,0)</f>
        <v>7.71</v>
      </c>
      <c r="H12" s="26">
        <f>G12-G12*E12/100</f>
        <v>7.71</v>
      </c>
      <c r="I12" s="27">
        <f>PRODUCT(C12,H12)</f>
        <v>21.59</v>
      </c>
      <c r="J12" s="44">
        <v>20</v>
      </c>
      <c r="K12" s="31" t="s">
        <v>9</v>
      </c>
      <c r="L12" s="62">
        <f>SUM(I12+(J12*L7))</f>
        <v>21.59</v>
      </c>
    </row>
    <row r="13" spans="1:13" s="5" customFormat="1" ht="24" customHeight="1" x14ac:dyDescent="0.2">
      <c r="A13" s="72" t="s">
        <v>5</v>
      </c>
      <c r="B13" s="73"/>
      <c r="C13" s="74"/>
      <c r="D13" s="75"/>
      <c r="E13" s="76"/>
      <c r="F13" s="75"/>
      <c r="G13" s="77"/>
      <c r="H13" s="78"/>
      <c r="I13" s="79">
        <f>SUM(I8:I12)</f>
        <v>73.010000000000005</v>
      </c>
      <c r="J13" s="80">
        <f>SUM(J8:J12)</f>
        <v>66</v>
      </c>
      <c r="K13" s="81" t="s">
        <v>9</v>
      </c>
      <c r="L13" s="82">
        <f>SUM(L8:L12)</f>
        <v>73.010000000000005</v>
      </c>
    </row>
    <row r="14" spans="1:13" s="4" customFormat="1" ht="24" customHeight="1" x14ac:dyDescent="0.2">
      <c r="A14" s="85" t="s">
        <v>68</v>
      </c>
      <c r="B14" s="32"/>
      <c r="C14" s="29">
        <f>VLOOKUP(A14,Tabelle1!A2:B75,2,0)</f>
        <v>3</v>
      </c>
      <c r="D14" s="24" t="s">
        <v>1</v>
      </c>
      <c r="E14" s="25" t="str">
        <f>REPT(E8,1)</f>
        <v>0</v>
      </c>
      <c r="F14" s="24" t="s">
        <v>13</v>
      </c>
      <c r="G14" s="86">
        <f>VLOOKUP(A14,Tabelle1!$A$2:$C$75,3,0)</f>
        <v>5.29</v>
      </c>
      <c r="H14" s="26">
        <f>G14-G14*E14/100</f>
        <v>5.29</v>
      </c>
      <c r="I14" s="27">
        <f>PRODUCT(C14,H14)</f>
        <v>15.87</v>
      </c>
      <c r="J14" s="51">
        <v>13</v>
      </c>
      <c r="K14" s="28" t="s">
        <v>9</v>
      </c>
      <c r="L14" s="62">
        <f>SUM(I14+(J14*L7))</f>
        <v>15.87</v>
      </c>
    </row>
    <row r="15" spans="1:13" s="4" customFormat="1" ht="24" customHeight="1" x14ac:dyDescent="0.2">
      <c r="A15" s="85" t="s">
        <v>52</v>
      </c>
      <c r="B15" s="32"/>
      <c r="C15" s="23">
        <v>0.3</v>
      </c>
      <c r="D15" s="24" t="s">
        <v>3</v>
      </c>
      <c r="E15" s="25" t="str">
        <f>REPT(E8,1)</f>
        <v>0</v>
      </c>
      <c r="F15" s="24" t="s">
        <v>13</v>
      </c>
      <c r="G15" s="86">
        <f>VLOOKUP(A15,Tabelle1!A24:C25,3,0)</f>
        <v>22.56</v>
      </c>
      <c r="H15" s="26">
        <f>G15-G15*E15/100</f>
        <v>22.56</v>
      </c>
      <c r="I15" s="27">
        <f>PRODUCT(C15,H15)</f>
        <v>6.77</v>
      </c>
      <c r="J15" s="30">
        <v>11</v>
      </c>
      <c r="K15" s="31" t="s">
        <v>9</v>
      </c>
      <c r="L15" s="62">
        <f>SUM(I15+(J15*L7))</f>
        <v>6.77</v>
      </c>
    </row>
    <row r="16" spans="1:13" s="5" customFormat="1" ht="24" customHeight="1" x14ac:dyDescent="0.2">
      <c r="A16" s="72" t="s">
        <v>16</v>
      </c>
      <c r="B16" s="73"/>
      <c r="C16" s="74"/>
      <c r="D16" s="75"/>
      <c r="E16" s="76"/>
      <c r="F16" s="75"/>
      <c r="G16" s="77"/>
      <c r="H16" s="78"/>
      <c r="I16" s="79">
        <f>SUM(I13:I15)</f>
        <v>95.65</v>
      </c>
      <c r="J16" s="80">
        <f>SUM(J8:J15)</f>
        <v>156</v>
      </c>
      <c r="K16" s="81" t="s">
        <v>9</v>
      </c>
      <c r="L16" s="82">
        <f>SUM(L13:L15)</f>
        <v>95.65</v>
      </c>
    </row>
    <row r="17" spans="1:12" s="4" customFormat="1" ht="9.9499999999999993" customHeight="1" x14ac:dyDescent="0.2">
      <c r="A17" s="33"/>
      <c r="B17" s="34"/>
      <c r="C17" s="35"/>
      <c r="D17" s="35"/>
      <c r="E17" s="36"/>
      <c r="F17" s="34"/>
      <c r="G17" s="50"/>
      <c r="H17" s="35"/>
      <c r="I17" s="35"/>
      <c r="J17" s="37"/>
      <c r="K17" s="34"/>
      <c r="L17" s="65"/>
    </row>
    <row r="18" spans="1:12" s="4" customFormat="1" ht="24" customHeight="1" x14ac:dyDescent="0.2">
      <c r="A18" s="38" t="s">
        <v>72</v>
      </c>
      <c r="B18" s="39"/>
      <c r="C18" s="40"/>
      <c r="D18" s="40"/>
      <c r="E18" s="41"/>
      <c r="F18" s="42"/>
      <c r="G18" s="43"/>
      <c r="H18" s="43"/>
      <c r="I18" s="43"/>
      <c r="J18" s="44"/>
      <c r="K18" s="63"/>
      <c r="L18" s="66"/>
    </row>
    <row r="19" spans="1:12" s="4" customFormat="1" ht="24" customHeight="1" x14ac:dyDescent="0.2">
      <c r="A19" s="85" t="s">
        <v>80</v>
      </c>
      <c r="B19" s="87" t="s">
        <v>74</v>
      </c>
      <c r="C19" s="45">
        <v>4</v>
      </c>
      <c r="D19" s="24" t="s">
        <v>75</v>
      </c>
      <c r="E19" s="89"/>
      <c r="F19" s="24" t="s">
        <v>13</v>
      </c>
      <c r="G19" s="86">
        <f>VLOOKUP(A19,Tabelle1!$A$2:$C$75,3,0)</f>
        <v>1.89</v>
      </c>
      <c r="H19" s="26">
        <f>G19-G19*E19/100</f>
        <v>1.89</v>
      </c>
      <c r="I19" s="27">
        <f>PRODUCT(C19,H19)</f>
        <v>7.56</v>
      </c>
      <c r="J19" s="96">
        <f>3*C19</f>
        <v>12</v>
      </c>
      <c r="K19" s="132" t="s">
        <v>9</v>
      </c>
      <c r="L19" s="94">
        <f>SUM(I19+I20+I21+(J19*L2))</f>
        <v>15.12</v>
      </c>
    </row>
    <row r="20" spans="1:12" s="4" customFormat="1" ht="24" customHeight="1" x14ac:dyDescent="0.2">
      <c r="A20" s="90" t="s">
        <v>76</v>
      </c>
      <c r="B20" s="87" t="s">
        <v>74</v>
      </c>
      <c r="C20" s="45">
        <v>4</v>
      </c>
      <c r="D20" s="24" t="s">
        <v>75</v>
      </c>
      <c r="E20" s="89"/>
      <c r="F20" s="24" t="s">
        <v>13</v>
      </c>
      <c r="G20" s="86">
        <f>VLOOKUP(A20,Tabelle1!$A$2:$C$75,3,0)</f>
        <v>0.23</v>
      </c>
      <c r="H20" s="26">
        <f>G20-G20*E20/100</f>
        <v>0.23</v>
      </c>
      <c r="I20" s="27">
        <f>PRODUCT(C20,H20)</f>
        <v>0.92</v>
      </c>
      <c r="J20" s="130"/>
      <c r="K20" s="133"/>
      <c r="L20" s="102"/>
    </row>
    <row r="21" spans="1:12" s="4" customFormat="1" ht="24" customHeight="1" x14ac:dyDescent="0.2">
      <c r="A21" s="90" t="s">
        <v>86</v>
      </c>
      <c r="B21" s="87" t="s">
        <v>74</v>
      </c>
      <c r="C21" s="45">
        <v>4</v>
      </c>
      <c r="D21" s="24" t="s">
        <v>75</v>
      </c>
      <c r="E21" s="89"/>
      <c r="F21" s="24" t="s">
        <v>13</v>
      </c>
      <c r="G21" s="86">
        <f>VLOOKUP(A21,Tabelle1!$A$2:$C$75,3,0)</f>
        <v>1.66</v>
      </c>
      <c r="H21" s="26">
        <f>G21-G21*E21/100</f>
        <v>1.66</v>
      </c>
      <c r="I21" s="27">
        <f>PRODUCT(C21,H21)</f>
        <v>6.64</v>
      </c>
      <c r="J21" s="131"/>
      <c r="K21" s="134"/>
      <c r="L21" s="95"/>
    </row>
    <row r="22" spans="1:12" s="4" customFormat="1" ht="9.9499999999999993" customHeight="1" x14ac:dyDescent="0.2">
      <c r="A22" s="33"/>
      <c r="B22" s="34"/>
      <c r="C22" s="35"/>
      <c r="D22" s="35"/>
      <c r="E22" s="36"/>
      <c r="F22" s="34"/>
      <c r="G22" s="50"/>
      <c r="H22" s="35"/>
      <c r="I22" s="35"/>
      <c r="J22" s="37"/>
      <c r="K22" s="34"/>
      <c r="L22" s="65"/>
    </row>
    <row r="23" spans="1:12" s="4" customFormat="1" ht="24" customHeight="1" x14ac:dyDescent="0.2">
      <c r="A23" s="38" t="s">
        <v>4</v>
      </c>
      <c r="B23" s="39"/>
      <c r="C23" s="40"/>
      <c r="D23" s="40"/>
      <c r="E23" s="41"/>
      <c r="F23" s="42"/>
      <c r="G23" s="43"/>
      <c r="H23" s="43"/>
      <c r="I23" s="43"/>
      <c r="J23" s="44"/>
      <c r="K23" s="63"/>
      <c r="L23" s="66"/>
    </row>
    <row r="24" spans="1:12" s="4" customFormat="1" ht="24" customHeight="1" x14ac:dyDescent="0.2">
      <c r="A24" s="21" t="s">
        <v>39</v>
      </c>
      <c r="B24" s="22"/>
      <c r="C24" s="45">
        <v>1</v>
      </c>
      <c r="D24" s="24" t="s">
        <v>7</v>
      </c>
      <c r="E24" s="25" t="str">
        <f>REPT(E8,1)</f>
        <v>0</v>
      </c>
      <c r="F24" s="24" t="s">
        <v>13</v>
      </c>
      <c r="G24" s="86">
        <v>2.46</v>
      </c>
      <c r="H24" s="26">
        <f>G24-G24*E24/100</f>
        <v>2.46</v>
      </c>
      <c r="I24" s="27">
        <f>PRODUCT(C24,H24)</f>
        <v>2.46</v>
      </c>
      <c r="J24" s="44">
        <v>8</v>
      </c>
      <c r="K24" s="64" t="s">
        <v>10</v>
      </c>
      <c r="L24" s="67">
        <f>SUM(I24+(J24*L7))</f>
        <v>2.46</v>
      </c>
    </row>
    <row r="25" spans="1:12" s="4" customFormat="1" ht="24" customHeight="1" x14ac:dyDescent="0.2">
      <c r="A25" s="85" t="s">
        <v>30</v>
      </c>
      <c r="B25" s="22"/>
      <c r="C25" s="45">
        <v>1</v>
      </c>
      <c r="D25" s="24" t="s">
        <v>7</v>
      </c>
      <c r="E25" s="25" t="str">
        <f>REPT(E8,1)</f>
        <v>0</v>
      </c>
      <c r="F25" s="24" t="s">
        <v>13</v>
      </c>
      <c r="G25" s="86">
        <f>VLOOKUP(A25,Tabelle1!A29:C33,3,0)</f>
        <v>1.84</v>
      </c>
      <c r="H25" s="26">
        <f>G25-G25*E25/100</f>
        <v>1.84</v>
      </c>
      <c r="I25" s="27">
        <f>PRODUCT(C25,H25)</f>
        <v>1.84</v>
      </c>
      <c r="J25" s="44">
        <v>3</v>
      </c>
      <c r="K25" s="64" t="s">
        <v>10</v>
      </c>
      <c r="L25" s="67">
        <f>SUM(I25+(J25*L7))</f>
        <v>1.84</v>
      </c>
    </row>
    <row r="26" spans="1:12" s="4" customFormat="1" ht="12" x14ac:dyDescent="0.2">
      <c r="A26" s="10"/>
      <c r="B26" s="10"/>
      <c r="C26" s="6"/>
      <c r="D26" s="6"/>
      <c r="E26" s="6"/>
      <c r="F26" s="6"/>
      <c r="G26" s="6"/>
      <c r="H26" s="6"/>
      <c r="I26" s="6"/>
      <c r="J26" s="6"/>
      <c r="K26" s="6"/>
    </row>
    <row r="27" spans="1:12" s="4" customFormat="1" x14ac:dyDescent="0.2">
      <c r="A27" s="54" t="s">
        <v>22</v>
      </c>
      <c r="B27" s="143"/>
      <c r="C27" s="143"/>
      <c r="D27" s="53"/>
      <c r="E27" s="55"/>
      <c r="F27" s="55"/>
      <c r="G27" s="55"/>
      <c r="H27" s="6"/>
      <c r="I27" s="6"/>
      <c r="J27" s="6"/>
      <c r="K27" s="6"/>
    </row>
    <row r="28" spans="1:12" s="4" customFormat="1" x14ac:dyDescent="0.2">
      <c r="A28" s="54"/>
      <c r="B28" s="52"/>
      <c r="C28" s="52"/>
      <c r="D28" s="53"/>
      <c r="E28" s="55"/>
      <c r="F28" s="55"/>
      <c r="G28" s="55"/>
      <c r="H28" s="6"/>
      <c r="I28" s="6"/>
      <c r="J28" s="6"/>
      <c r="K28" s="6"/>
    </row>
    <row r="29" spans="1:12" s="4" customFormat="1" x14ac:dyDescent="0.2">
      <c r="A29" s="56" t="s">
        <v>26</v>
      </c>
      <c r="B29" s="144">
        <v>0</v>
      </c>
      <c r="C29" s="145"/>
      <c r="D29" s="146" t="s">
        <v>2</v>
      </c>
      <c r="E29" s="147"/>
      <c r="F29" s="148">
        <f>SUM(I16*B29)</f>
        <v>0</v>
      </c>
      <c r="G29" s="149"/>
      <c r="H29" s="6"/>
      <c r="I29" s="6"/>
      <c r="J29" s="6"/>
      <c r="K29" s="6"/>
    </row>
    <row r="30" spans="1:12" s="4" customFormat="1" x14ac:dyDescent="0.2">
      <c r="A30" s="56" t="s">
        <v>24</v>
      </c>
      <c r="B30" s="144">
        <v>0</v>
      </c>
      <c r="C30" s="145"/>
      <c r="D30" s="146" t="s">
        <v>23</v>
      </c>
      <c r="E30" s="147"/>
      <c r="F30" s="103">
        <f>SUM(I24*B30)</f>
        <v>0</v>
      </c>
      <c r="G30" s="104"/>
      <c r="H30" s="6"/>
      <c r="I30" s="6"/>
      <c r="J30" s="6"/>
      <c r="K30" s="6"/>
    </row>
    <row r="31" spans="1:12" s="4" customFormat="1" x14ac:dyDescent="0.2">
      <c r="A31" s="57" t="s">
        <v>27</v>
      </c>
      <c r="B31" s="137">
        <v>0</v>
      </c>
      <c r="C31" s="138"/>
      <c r="D31" s="139" t="s">
        <v>23</v>
      </c>
      <c r="E31" s="140"/>
      <c r="F31" s="103">
        <f>SUM(I25*B31)</f>
        <v>0</v>
      </c>
      <c r="G31" s="104"/>
      <c r="H31" s="6"/>
      <c r="I31" s="6"/>
      <c r="J31" s="6"/>
      <c r="K31" s="6"/>
    </row>
    <row r="32" spans="1:12" s="4" customFormat="1" x14ac:dyDescent="0.2">
      <c r="A32" s="10"/>
      <c r="B32" s="10"/>
      <c r="C32" s="6"/>
      <c r="D32" s="6"/>
      <c r="E32" s="6"/>
      <c r="F32" s="141">
        <f>SUM(F29:G31)</f>
        <v>0</v>
      </c>
      <c r="G32" s="142"/>
      <c r="H32" s="6"/>
      <c r="I32" s="6"/>
      <c r="J32" s="6"/>
      <c r="K32" s="6"/>
    </row>
    <row r="33" spans="1:16" s="4" customFormat="1" x14ac:dyDescent="0.2">
      <c r="A33" s="10"/>
      <c r="B33" s="10"/>
      <c r="C33" s="6"/>
      <c r="D33" s="6"/>
      <c r="E33" s="6"/>
      <c r="F33" s="58"/>
      <c r="G33" s="58"/>
      <c r="H33" s="6"/>
      <c r="I33" s="6"/>
      <c r="J33" s="6"/>
      <c r="K33" s="6"/>
    </row>
    <row r="34" spans="1:16" s="4" customFormat="1" x14ac:dyDescent="0.2">
      <c r="A34" s="59" t="s">
        <v>25</v>
      </c>
      <c r="B34" s="10"/>
      <c r="C34" s="6"/>
      <c r="D34" s="6"/>
      <c r="E34" s="6"/>
      <c r="F34" s="58"/>
      <c r="G34" s="58"/>
      <c r="H34" s="6"/>
      <c r="I34" s="6"/>
      <c r="J34" s="6"/>
      <c r="K34" s="6"/>
    </row>
    <row r="35" spans="1:16" s="4" customFormat="1" x14ac:dyDescent="0.2">
      <c r="A35" s="34"/>
      <c r="B35" s="10"/>
      <c r="C35" s="6"/>
      <c r="D35" s="6"/>
      <c r="E35" s="6"/>
      <c r="F35" s="58"/>
      <c r="G35" s="58"/>
      <c r="H35" s="6"/>
      <c r="I35" s="6"/>
      <c r="J35" s="6"/>
      <c r="K35" s="6"/>
    </row>
    <row r="36" spans="1:16" s="4" customFormat="1" x14ac:dyDescent="0.2">
      <c r="A36" s="108" t="str">
        <f>A9</f>
        <v>HECK EPS-Perimeter-Dämmplatte 30-035</v>
      </c>
      <c r="B36" s="106"/>
      <c r="C36" s="106"/>
      <c r="D36" s="106"/>
      <c r="E36" s="106"/>
      <c r="F36" s="150">
        <f>SUM(B29)</f>
        <v>0</v>
      </c>
      <c r="G36" s="150"/>
      <c r="H36" s="6"/>
      <c r="I36" s="6"/>
      <c r="J36" s="6"/>
      <c r="K36" s="6"/>
    </row>
    <row r="37" spans="1:16" s="4" customFormat="1" x14ac:dyDescent="0.2">
      <c r="A37" s="108" t="str">
        <f>A8</f>
        <v>HECK K+A grau</v>
      </c>
      <c r="B37" s="106"/>
      <c r="C37" s="106"/>
      <c r="D37" s="106"/>
      <c r="E37" s="106"/>
      <c r="F37" s="109">
        <f>VLOOKUP(A37,Tabelle1!A2:D6,4,0)</f>
        <v>0</v>
      </c>
      <c r="G37" s="109"/>
      <c r="H37" s="6" t="s">
        <v>36</v>
      </c>
      <c r="I37" s="6"/>
      <c r="J37" s="6"/>
      <c r="K37" s="6"/>
    </row>
    <row r="38" spans="1:16" s="4" customFormat="1" x14ac:dyDescent="0.2">
      <c r="A38" s="108" t="str">
        <f>A10</f>
        <v>HECK K+A grau</v>
      </c>
      <c r="B38" s="106"/>
      <c r="C38" s="106"/>
      <c r="D38" s="106"/>
      <c r="E38" s="106"/>
      <c r="F38" s="109">
        <f>VLOOKUP(A38,Tabelle1!A13:D18,4,0)</f>
        <v>0</v>
      </c>
      <c r="G38" s="109"/>
      <c r="H38" s="6" t="s">
        <v>37</v>
      </c>
      <c r="I38" s="6"/>
      <c r="J38" s="6"/>
      <c r="K38" s="6"/>
    </row>
    <row r="39" spans="1:16" s="4" customFormat="1" x14ac:dyDescent="0.2">
      <c r="A39" s="105" t="str">
        <f>A11</f>
        <v>HECK AGG (Armierungsgewebe fein)</v>
      </c>
      <c r="B39" s="106"/>
      <c r="C39" s="106"/>
      <c r="D39" s="106"/>
      <c r="E39" s="106"/>
      <c r="F39" s="110">
        <f>ROUNDUP(((C11*B29)/55),0)</f>
        <v>0</v>
      </c>
      <c r="G39" s="110"/>
      <c r="H39" s="6"/>
      <c r="I39" s="6"/>
      <c r="J39" s="6"/>
      <c r="K39" s="6"/>
    </row>
    <row r="40" spans="1:16" s="4" customFormat="1" x14ac:dyDescent="0.2">
      <c r="A40" s="105" t="s">
        <v>49</v>
      </c>
      <c r="B40" s="106"/>
      <c r="C40" s="106"/>
      <c r="D40" s="106"/>
      <c r="E40" s="106"/>
      <c r="F40" s="107">
        <f>ROUNDUP(((C12*B29)/1),0)</f>
        <v>0</v>
      </c>
      <c r="G40" s="107"/>
      <c r="H40" s="6"/>
      <c r="I40" s="6"/>
      <c r="J40" s="6"/>
      <c r="K40" s="6"/>
    </row>
    <row r="41" spans="1:16" s="4" customFormat="1" x14ac:dyDescent="0.2">
      <c r="A41" s="105" t="str">
        <f>A15</f>
        <v>HECK SILCO FF (Silicon-Fassadenfinish) weiß</v>
      </c>
      <c r="B41" s="106"/>
      <c r="C41" s="106"/>
      <c r="D41" s="106"/>
      <c r="E41" s="106"/>
      <c r="F41" s="153">
        <f>ROUNDUP(((C15*B29)/12.5),0)</f>
        <v>0</v>
      </c>
      <c r="G41" s="154"/>
      <c r="H41" s="6"/>
      <c r="I41" s="6"/>
      <c r="J41" s="6"/>
      <c r="K41" s="6"/>
    </row>
    <row r="42" spans="1:16" s="4" customFormat="1" x14ac:dyDescent="0.2">
      <c r="A42" s="105" t="s">
        <v>39</v>
      </c>
      <c r="B42" s="106"/>
      <c r="C42" s="106"/>
      <c r="D42" s="106"/>
      <c r="E42" s="106"/>
      <c r="F42" s="135">
        <f>ROUNDUP(((C24*B30)/2.5),0)</f>
        <v>0</v>
      </c>
      <c r="G42" s="136"/>
      <c r="H42" s="6"/>
      <c r="I42" s="6"/>
      <c r="J42" s="6"/>
      <c r="K42" s="6"/>
    </row>
    <row r="43" spans="1:16" s="69" customFormat="1" x14ac:dyDescent="0.2">
      <c r="A43" s="105" t="str">
        <f>A25</f>
        <v>HECK Fugendichtband 14/2-6</v>
      </c>
      <c r="B43" s="106"/>
      <c r="C43" s="106"/>
      <c r="D43" s="106"/>
      <c r="E43" s="106"/>
      <c r="F43" s="151">
        <f>VLOOKUP(A43,Tabelle1!A29:D33,4,0)</f>
        <v>0</v>
      </c>
      <c r="G43" s="152"/>
      <c r="H43" s="6"/>
      <c r="I43" s="6"/>
      <c r="J43" s="6"/>
      <c r="K43" s="6"/>
      <c r="L43" s="4"/>
      <c r="M43" s="70"/>
      <c r="N43" s="70"/>
      <c r="O43" s="70"/>
      <c r="P43" s="70"/>
    </row>
    <row r="44" spans="1:16" s="69" customFormat="1" ht="12" x14ac:dyDescent="0.2">
      <c r="A44" s="10"/>
      <c r="B44" s="10"/>
      <c r="C44" s="6"/>
      <c r="D44" s="6"/>
      <c r="E44" s="6"/>
      <c r="F44" s="6"/>
      <c r="G44" s="6"/>
      <c r="H44" s="6"/>
      <c r="I44" s="6"/>
      <c r="J44" s="6"/>
      <c r="K44" s="6"/>
      <c r="L44" s="4"/>
      <c r="M44" s="70"/>
      <c r="N44" s="70"/>
      <c r="O44" s="70"/>
    </row>
    <row r="45" spans="1:16" s="69" customFormat="1" ht="12" x14ac:dyDescent="0.2">
      <c r="A45" s="10"/>
      <c r="B45" s="10"/>
      <c r="C45" s="6"/>
      <c r="D45" s="6"/>
      <c r="E45" s="6"/>
      <c r="F45" s="6"/>
      <c r="G45" s="6"/>
      <c r="H45" s="6"/>
      <c r="I45" s="6"/>
      <c r="J45" s="6"/>
      <c r="K45" s="6"/>
      <c r="L45" s="4"/>
      <c r="M45" s="70"/>
      <c r="N45" s="70"/>
      <c r="O45" s="70"/>
      <c r="P45" s="70"/>
    </row>
    <row r="46" spans="1:16" s="70" customFormat="1" ht="11.25" x14ac:dyDescent="0.2">
      <c r="A46" s="10" t="s">
        <v>87</v>
      </c>
    </row>
    <row r="47" spans="1:16" s="70" customFormat="1" ht="11.25" x14ac:dyDescent="0.2">
      <c r="A47" s="10" t="s">
        <v>88</v>
      </c>
    </row>
    <row r="48" spans="1:16" s="70" customFormat="1" ht="11.25" x14ac:dyDescent="0.2">
      <c r="A48" s="10" t="s">
        <v>89</v>
      </c>
    </row>
    <row r="49" spans="1:12" x14ac:dyDescent="0.2">
      <c r="A49" s="10" t="s">
        <v>17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2">
      <c r="A50" s="6" t="s">
        <v>18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 x14ac:dyDescent="0.2">
      <c r="A51" s="10" t="s">
        <v>19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x14ac:dyDescent="0.2">
      <c r="A52" s="10" t="s">
        <v>20</v>
      </c>
      <c r="B52" s="68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x14ac:dyDescent="0.2">
      <c r="A53" s="10" t="s">
        <v>21</v>
      </c>
    </row>
    <row r="59" spans="1:12" x14ac:dyDescent="0.2">
      <c r="B59" s="12"/>
    </row>
    <row r="60" spans="1:12" x14ac:dyDescent="0.2">
      <c r="B60" s="13"/>
    </row>
    <row r="61" spans="1:12" x14ac:dyDescent="0.2">
      <c r="B61" s="14"/>
    </row>
  </sheetData>
  <mergeCells count="44">
    <mergeCell ref="A43:E43"/>
    <mergeCell ref="F43:G43"/>
    <mergeCell ref="A41:E41"/>
    <mergeCell ref="F41:G41"/>
    <mergeCell ref="A37:E37"/>
    <mergeCell ref="F37:G37"/>
    <mergeCell ref="B27:C27"/>
    <mergeCell ref="B29:C29"/>
    <mergeCell ref="D29:E29"/>
    <mergeCell ref="F29:G29"/>
    <mergeCell ref="A36:E36"/>
    <mergeCell ref="F36:G36"/>
    <mergeCell ref="B30:C30"/>
    <mergeCell ref="D30:E30"/>
    <mergeCell ref="A42:E42"/>
    <mergeCell ref="F42:G42"/>
    <mergeCell ref="B31:C31"/>
    <mergeCell ref="D31:E31"/>
    <mergeCell ref="F31:G31"/>
    <mergeCell ref="F32:G32"/>
    <mergeCell ref="J4:K4"/>
    <mergeCell ref="A6:A7"/>
    <mergeCell ref="K8:K9"/>
    <mergeCell ref="J6:K6"/>
    <mergeCell ref="B6:D6"/>
    <mergeCell ref="B7:D7"/>
    <mergeCell ref="E6:F7"/>
    <mergeCell ref="H6:I6"/>
    <mergeCell ref="G6:G7"/>
    <mergeCell ref="J8:J9"/>
    <mergeCell ref="F30:G30"/>
    <mergeCell ref="A40:E40"/>
    <mergeCell ref="F40:G40"/>
    <mergeCell ref="A38:E38"/>
    <mergeCell ref="F38:G38"/>
    <mergeCell ref="A39:E39"/>
    <mergeCell ref="F39:G39"/>
    <mergeCell ref="L8:L9"/>
    <mergeCell ref="J10:J11"/>
    <mergeCell ref="K10:K11"/>
    <mergeCell ref="L10:L11"/>
    <mergeCell ref="L19:L21"/>
    <mergeCell ref="J19:J21"/>
    <mergeCell ref="K19:K21"/>
  </mergeCells>
  <phoneticPr fontId="20" type="noConversion"/>
  <printOptions gridLinesSet="0"/>
  <pageMargins left="0.39370078740157483" right="0.78740157480314965" top="1.1811023622047245" bottom="0.47244094488188981" header="0.39370078740157483" footer="0.31496062992125984"/>
  <pageSetup paperSize="9" scale="90" orientation="portrait" horizontalDpi="4294967292" verticalDpi="360" r:id="rId1"/>
  <headerFooter alignWithMargins="0">
    <oddHeader>&amp;L&amp;"Arial,Fett"&amp;14HECK Sockelsystem EPS&amp;"Arial,Standard"&amp;10
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Tabelle1!$A$9:$A$10</xm:f>
          </x14:formula1>
          <xm:sqref>A9</xm:sqref>
        </x14:dataValidation>
        <x14:dataValidation type="list" allowBlank="1" showInputMessage="1" showErrorMessage="1" xr:uid="{00000000-0002-0000-0000-000002000000}">
          <x14:formula1>
            <xm:f>Tabelle1!$A$24:$A$25</xm:f>
          </x14:formula1>
          <xm:sqref>A15</xm:sqref>
        </x14:dataValidation>
        <x14:dataValidation type="list" allowBlank="1" showInputMessage="1" showErrorMessage="1" xr:uid="{00000000-0002-0000-0000-000003000000}">
          <x14:formula1>
            <xm:f>Tabelle1!$A$28:$A$33</xm:f>
          </x14:formula1>
          <xm:sqref>A25</xm:sqref>
        </x14:dataValidation>
        <x14:dataValidation type="list" allowBlank="1" showInputMessage="1" showErrorMessage="1" xr:uid="{202AF309-8FEF-4FB2-838B-76D89BC1EB9F}">
          <x14:formula1>
            <xm:f>Tabelle1!$A$13:$A$18</xm:f>
          </x14:formula1>
          <xm:sqref>A10</xm:sqref>
        </x14:dataValidation>
        <x14:dataValidation type="list" allowBlank="1" showInputMessage="1" showErrorMessage="1" xr:uid="{A3B352DE-9EAF-465C-AA05-70D2E9ACFC81}">
          <x14:formula1>
            <xm:f>Tabelle1!$A$20:$A$21</xm:f>
          </x14:formula1>
          <xm:sqref>A11</xm:sqref>
        </x14:dataValidation>
        <x14:dataValidation type="list" allowBlank="1" showInputMessage="1" showErrorMessage="1" xr:uid="{00000000-0002-0000-0000-000001000000}">
          <x14:formula1>
            <xm:f>Tabelle1!$A$2:$A$6</xm:f>
          </x14:formula1>
          <xm:sqref>A8</xm:sqref>
        </x14:dataValidation>
        <x14:dataValidation type="list" allowBlank="1" showInputMessage="1" showErrorMessage="1" xr:uid="{BDD786CC-EEF6-4CF5-B53B-9C19B195F207}">
          <x14:formula1>
            <xm:f>Tabelle1!$A$46:$A$63</xm:f>
          </x14:formula1>
          <xm:sqref>A14</xm:sqref>
        </x14:dataValidation>
        <x14:dataValidation type="list" allowBlank="1" showInputMessage="1" showErrorMessage="1" xr:uid="{2C302D88-AFF2-4AE5-AAFD-EEAAEA27B493}">
          <x14:formula1>
            <xm:f>Tabelle1!$A$35:$A$44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7"/>
  <sheetViews>
    <sheetView topLeftCell="A31" workbookViewId="0">
      <selection activeCell="F63" sqref="F63"/>
    </sheetView>
  </sheetViews>
  <sheetFormatPr baseColWidth="10" defaultRowHeight="12.75" x14ac:dyDescent="0.2"/>
  <cols>
    <col min="1" max="1" width="54.85546875" bestFit="1" customWidth="1"/>
  </cols>
  <sheetData>
    <row r="2" spans="1:4" x14ac:dyDescent="0.2">
      <c r="A2" s="71" t="s">
        <v>47</v>
      </c>
      <c r="B2">
        <v>1.8</v>
      </c>
      <c r="C2">
        <v>4.53</v>
      </c>
      <c r="D2">
        <f>ROUNDUP((($B2*'EPS-Perimeter-DP'!B29)/30),0)</f>
        <v>0</v>
      </c>
    </row>
    <row r="3" spans="1:4" x14ac:dyDescent="0.2">
      <c r="A3" s="71" t="s">
        <v>29</v>
      </c>
      <c r="B3">
        <v>4</v>
      </c>
      <c r="C3">
        <v>1.33</v>
      </c>
      <c r="D3">
        <f>ROUNDUP((($B3*'EPS-Perimeter-DP'!B29)/25),0)</f>
        <v>0</v>
      </c>
    </row>
    <row r="4" spans="1:4" x14ac:dyDescent="0.2">
      <c r="A4" s="71" t="s">
        <v>44</v>
      </c>
      <c r="B4">
        <v>4.0999999999999996</v>
      </c>
      <c r="C4">
        <v>1.63</v>
      </c>
      <c r="D4">
        <f>ROUNDUP((($B4*'EPS-Perimeter-DP'!B29)/25),0)</f>
        <v>0</v>
      </c>
    </row>
    <row r="5" spans="1:4" x14ac:dyDescent="0.2">
      <c r="A5" s="71" t="s">
        <v>48</v>
      </c>
      <c r="B5">
        <v>5</v>
      </c>
      <c r="C5">
        <v>3</v>
      </c>
      <c r="D5">
        <f>ROUNDUP((($B5*'EPS-Perimeter-DP'!B29)/25),0)</f>
        <v>0</v>
      </c>
    </row>
    <row r="6" spans="1:4" x14ac:dyDescent="0.2">
      <c r="A6" s="71" t="s">
        <v>49</v>
      </c>
      <c r="B6">
        <v>4.2</v>
      </c>
      <c r="C6">
        <v>7.71</v>
      </c>
      <c r="D6">
        <f>ROUNDUP((($B6*'EPS-Perimeter-DP'!B29)/20),0)</f>
        <v>0</v>
      </c>
    </row>
    <row r="7" spans="1:4" x14ac:dyDescent="0.2">
      <c r="A7" s="71"/>
    </row>
    <row r="9" spans="1:4" x14ac:dyDescent="0.2">
      <c r="A9" s="71" t="s">
        <v>31</v>
      </c>
      <c r="C9">
        <f>'EPS-Perimeter-DP'!H$6*0.367</f>
        <v>36.700000000000003</v>
      </c>
    </row>
    <row r="10" spans="1:4" x14ac:dyDescent="0.2">
      <c r="A10" s="71" t="s">
        <v>45</v>
      </c>
      <c r="C10">
        <f>'EPS-Perimeter-DP'!H$6*0.357</f>
        <v>35.700000000000003</v>
      </c>
    </row>
    <row r="13" spans="1:4" x14ac:dyDescent="0.2">
      <c r="A13" s="71" t="s">
        <v>44</v>
      </c>
      <c r="B13">
        <v>4.0999999999999996</v>
      </c>
      <c r="C13">
        <v>1.63</v>
      </c>
      <c r="D13">
        <f>ROUNDUP((($B13*'EPS-Perimeter-DP'!B$29)/25),0)</f>
        <v>0</v>
      </c>
    </row>
    <row r="14" spans="1:4" x14ac:dyDescent="0.2">
      <c r="A14" s="71" t="s">
        <v>29</v>
      </c>
      <c r="B14">
        <v>5</v>
      </c>
      <c r="C14">
        <v>1.33</v>
      </c>
      <c r="D14">
        <f>ROUNDUP((($B14*'EPS-Perimeter-DP'!B$29)/25),0)</f>
        <v>0</v>
      </c>
    </row>
    <row r="15" spans="1:4" x14ac:dyDescent="0.2">
      <c r="A15" s="71" t="s">
        <v>32</v>
      </c>
      <c r="B15">
        <v>5</v>
      </c>
      <c r="C15">
        <v>1.52</v>
      </c>
      <c r="D15">
        <f>ROUNDUP((($B15*'EPS-Perimeter-DP'!B$29)/25),0)</f>
        <v>0</v>
      </c>
    </row>
    <row r="16" spans="1:4" x14ac:dyDescent="0.2">
      <c r="A16" s="71" t="s">
        <v>33</v>
      </c>
      <c r="B16">
        <v>4</v>
      </c>
      <c r="C16">
        <v>2.1800000000000002</v>
      </c>
      <c r="D16">
        <f>ROUNDUP((($B16*'EPS-Perimeter-DP'!B$25)/20),0)</f>
        <v>0</v>
      </c>
    </row>
    <row r="17" spans="1:5" x14ac:dyDescent="0.2">
      <c r="A17" s="71" t="s">
        <v>34</v>
      </c>
      <c r="B17">
        <v>3.5</v>
      </c>
      <c r="C17">
        <v>2.5299999999999998</v>
      </c>
      <c r="D17">
        <f>ROUNDUP((($B17*'EPS-Perimeter-DP'!B$25)/18),0)</f>
        <v>0</v>
      </c>
    </row>
    <row r="18" spans="1:5" x14ac:dyDescent="0.2">
      <c r="A18" s="71" t="s">
        <v>35</v>
      </c>
      <c r="B18">
        <v>4.2</v>
      </c>
      <c r="C18">
        <v>5.28</v>
      </c>
      <c r="D18">
        <f>ROUNDUP((($B18*'EPS-Perimeter-DP'!B$27)/20),0)</f>
        <v>0</v>
      </c>
    </row>
    <row r="19" spans="1:5" x14ac:dyDescent="0.2">
      <c r="A19" s="71"/>
    </row>
    <row r="20" spans="1:5" x14ac:dyDescent="0.2">
      <c r="A20" s="71" t="s">
        <v>50</v>
      </c>
      <c r="C20">
        <v>2.5</v>
      </c>
    </row>
    <row r="21" spans="1:5" x14ac:dyDescent="0.2">
      <c r="A21" s="71" t="s">
        <v>51</v>
      </c>
      <c r="C21">
        <v>2.68</v>
      </c>
    </row>
    <row r="22" spans="1:5" x14ac:dyDescent="0.2">
      <c r="A22" s="71"/>
    </row>
    <row r="24" spans="1:5" x14ac:dyDescent="0.2">
      <c r="A24" s="71" t="s">
        <v>52</v>
      </c>
      <c r="B24" s="83"/>
      <c r="C24">
        <v>22.56</v>
      </c>
      <c r="D24" s="84"/>
    </row>
    <row r="25" spans="1:5" x14ac:dyDescent="0.2">
      <c r="A25" s="71" t="s">
        <v>53</v>
      </c>
      <c r="B25" s="83"/>
      <c r="C25">
        <v>27.08</v>
      </c>
      <c r="D25" s="84"/>
    </row>
    <row r="29" spans="1:5" x14ac:dyDescent="0.2">
      <c r="A29" t="s">
        <v>40</v>
      </c>
      <c r="C29">
        <v>2.82</v>
      </c>
      <c r="D29">
        <f>ROUNDUP((('EPS-Perimeter-DP'!C$25*'EPS-Perimeter-DP'!B$31)/12),0)</f>
        <v>0</v>
      </c>
      <c r="E29">
        <v>12</v>
      </c>
    </row>
    <row r="30" spans="1:5" x14ac:dyDescent="0.2">
      <c r="A30" t="s">
        <v>41</v>
      </c>
      <c r="C30">
        <v>5.0199999999999996</v>
      </c>
      <c r="D30">
        <f>ROUNDUP((('EPS-Perimeter-DP'!C$25*'EPS-Perimeter-DP'!B$31)/8),0)</f>
        <v>0</v>
      </c>
      <c r="E30">
        <v>8</v>
      </c>
    </row>
    <row r="31" spans="1:5" x14ac:dyDescent="0.2">
      <c r="A31" t="s">
        <v>30</v>
      </c>
      <c r="C31">
        <v>1.84</v>
      </c>
      <c r="D31">
        <f>ROUNDUP((('EPS-Perimeter-DP'!C$25*'EPS-Perimeter-DP'!B$31)/18),0)</f>
        <v>0</v>
      </c>
      <c r="E31">
        <v>18</v>
      </c>
    </row>
    <row r="32" spans="1:5" x14ac:dyDescent="0.2">
      <c r="A32" t="s">
        <v>42</v>
      </c>
      <c r="C32">
        <v>2.67</v>
      </c>
      <c r="D32">
        <f>ROUNDUP((('EPS-Perimeter-DP'!C$25*'EPS-Perimeter-DP'!B$31)/12),0)</f>
        <v>0</v>
      </c>
      <c r="E32">
        <v>12</v>
      </c>
    </row>
    <row r="33" spans="1:5" x14ac:dyDescent="0.2">
      <c r="A33" t="s">
        <v>43</v>
      </c>
      <c r="C33">
        <v>5.55</v>
      </c>
      <c r="D33">
        <f>ROUNDUP((('EPS-Perimeter-DP'!C$25*'EPS-Perimeter-DP'!B$31)/9),0)</f>
        <v>0</v>
      </c>
      <c r="E33">
        <v>9</v>
      </c>
    </row>
    <row r="35" spans="1:5" x14ac:dyDescent="0.2">
      <c r="A35" s="91" t="s">
        <v>77</v>
      </c>
      <c r="C35" s="92">
        <v>1.06</v>
      </c>
    </row>
    <row r="36" spans="1:5" x14ac:dyDescent="0.2">
      <c r="A36" s="91" t="s">
        <v>78</v>
      </c>
      <c r="C36" s="92">
        <v>1.36</v>
      </c>
    </row>
    <row r="37" spans="1:5" x14ac:dyDescent="0.2">
      <c r="A37" s="91" t="s">
        <v>79</v>
      </c>
      <c r="C37" s="92">
        <v>1.6</v>
      </c>
    </row>
    <row r="38" spans="1:5" x14ac:dyDescent="0.2">
      <c r="A38" s="91" t="s">
        <v>80</v>
      </c>
      <c r="C38" s="92">
        <v>1.89</v>
      </c>
    </row>
    <row r="39" spans="1:5" x14ac:dyDescent="0.2">
      <c r="A39" s="91" t="s">
        <v>73</v>
      </c>
      <c r="C39" s="92">
        <v>2.3199999999999998</v>
      </c>
    </row>
    <row r="40" spans="1:5" x14ac:dyDescent="0.2">
      <c r="A40" s="91" t="s">
        <v>81</v>
      </c>
      <c r="C40" s="92">
        <v>2.76</v>
      </c>
    </row>
    <row r="41" spans="1:5" x14ac:dyDescent="0.2">
      <c r="A41" s="91" t="s">
        <v>82</v>
      </c>
      <c r="C41" s="92">
        <v>3.01</v>
      </c>
    </row>
    <row r="42" spans="1:5" x14ac:dyDescent="0.2">
      <c r="A42" s="91" t="s">
        <v>83</v>
      </c>
      <c r="C42" s="92">
        <v>3.44</v>
      </c>
    </row>
    <row r="43" spans="1:5" x14ac:dyDescent="0.2">
      <c r="A43" s="91" t="s">
        <v>84</v>
      </c>
      <c r="C43" s="92">
        <v>3.86</v>
      </c>
    </row>
    <row r="44" spans="1:5" x14ac:dyDescent="0.2">
      <c r="A44" s="91" t="s">
        <v>85</v>
      </c>
      <c r="C44" s="92">
        <v>4.46</v>
      </c>
    </row>
    <row r="45" spans="1:5" x14ac:dyDescent="0.2">
      <c r="A45" s="91"/>
      <c r="C45" s="92"/>
    </row>
    <row r="46" spans="1:5" x14ac:dyDescent="0.2">
      <c r="A46" s="71" t="s">
        <v>54</v>
      </c>
      <c r="B46" s="83">
        <v>1.9</v>
      </c>
      <c r="C46">
        <v>4.33</v>
      </c>
    </row>
    <row r="47" spans="1:5" x14ac:dyDescent="0.2">
      <c r="A47" s="71" t="s">
        <v>55</v>
      </c>
      <c r="B47" s="83">
        <v>1.9</v>
      </c>
      <c r="C47">
        <v>5.19</v>
      </c>
    </row>
    <row r="48" spans="1:5" x14ac:dyDescent="0.2">
      <c r="A48" s="71" t="s">
        <v>56</v>
      </c>
      <c r="B48" s="83">
        <v>2.2000000000000002</v>
      </c>
      <c r="C48">
        <v>4.33</v>
      </c>
    </row>
    <row r="49" spans="1:3" x14ac:dyDescent="0.2">
      <c r="A49" s="71" t="s">
        <v>57</v>
      </c>
      <c r="B49" s="83">
        <v>2.2000000000000002</v>
      </c>
      <c r="C49">
        <v>5.19</v>
      </c>
    </row>
    <row r="50" spans="1:3" x14ac:dyDescent="0.2">
      <c r="A50" s="71" t="s">
        <v>58</v>
      </c>
      <c r="B50" s="83">
        <v>3</v>
      </c>
      <c r="C50">
        <v>4.33</v>
      </c>
    </row>
    <row r="51" spans="1:3" x14ac:dyDescent="0.2">
      <c r="A51" s="71" t="s">
        <v>59</v>
      </c>
      <c r="B51" s="83">
        <v>3</v>
      </c>
      <c r="C51">
        <v>5.19</v>
      </c>
    </row>
    <row r="52" spans="1:3" x14ac:dyDescent="0.2">
      <c r="A52" s="71" t="s">
        <v>60</v>
      </c>
      <c r="B52" s="83">
        <v>3.8</v>
      </c>
      <c r="C52">
        <v>4.33</v>
      </c>
    </row>
    <row r="53" spans="1:3" x14ac:dyDescent="0.2">
      <c r="A53" s="71" t="s">
        <v>61</v>
      </c>
      <c r="B53" s="83">
        <v>3.8</v>
      </c>
      <c r="C53">
        <v>5.19</v>
      </c>
    </row>
    <row r="54" spans="1:3" x14ac:dyDescent="0.2">
      <c r="A54" s="71" t="s">
        <v>62</v>
      </c>
      <c r="B54" s="83">
        <v>2.5</v>
      </c>
      <c r="C54">
        <v>4.33</v>
      </c>
    </row>
    <row r="55" spans="1:3" x14ac:dyDescent="0.2">
      <c r="A55" s="71" t="s">
        <v>63</v>
      </c>
      <c r="B55" s="83">
        <v>2.5</v>
      </c>
      <c r="C55">
        <v>5.19</v>
      </c>
    </row>
    <row r="56" spans="1:3" x14ac:dyDescent="0.2">
      <c r="A56" s="71" t="s">
        <v>64</v>
      </c>
      <c r="B56" s="83">
        <v>3.4</v>
      </c>
      <c r="C56">
        <v>4.33</v>
      </c>
    </row>
    <row r="57" spans="1:3" x14ac:dyDescent="0.2">
      <c r="A57" s="71" t="s">
        <v>65</v>
      </c>
      <c r="B57" s="83">
        <v>3.4</v>
      </c>
      <c r="C57">
        <v>5.19</v>
      </c>
    </row>
    <row r="58" spans="1:3" x14ac:dyDescent="0.2">
      <c r="A58" s="71" t="s">
        <v>66</v>
      </c>
      <c r="B58" s="83">
        <v>2.2000000000000002</v>
      </c>
      <c r="C58">
        <v>5.29</v>
      </c>
    </row>
    <row r="59" spans="1:3" x14ac:dyDescent="0.2">
      <c r="A59" s="71" t="s">
        <v>67</v>
      </c>
      <c r="B59" s="83">
        <v>2.2000000000000002</v>
      </c>
      <c r="C59">
        <v>6.35</v>
      </c>
    </row>
    <row r="60" spans="1:3" x14ac:dyDescent="0.2">
      <c r="A60" s="71" t="s">
        <v>68</v>
      </c>
      <c r="B60" s="83">
        <v>3</v>
      </c>
      <c r="C60">
        <v>5.29</v>
      </c>
    </row>
    <row r="61" spans="1:3" x14ac:dyDescent="0.2">
      <c r="A61" s="71" t="s">
        <v>69</v>
      </c>
      <c r="B61" s="83">
        <v>3</v>
      </c>
      <c r="C61">
        <v>6.35</v>
      </c>
    </row>
    <row r="62" spans="1:3" x14ac:dyDescent="0.2">
      <c r="A62" s="71" t="s">
        <v>70</v>
      </c>
      <c r="B62" s="83">
        <v>3.8</v>
      </c>
      <c r="C62">
        <v>5.29</v>
      </c>
    </row>
    <row r="63" spans="1:3" x14ac:dyDescent="0.2">
      <c r="A63" s="71" t="s">
        <v>71</v>
      </c>
      <c r="B63" s="83">
        <v>3.8</v>
      </c>
      <c r="C63">
        <v>6.35</v>
      </c>
    </row>
    <row r="65" spans="1:4" x14ac:dyDescent="0.2">
      <c r="A65" s="91" t="s">
        <v>76</v>
      </c>
      <c r="C65">
        <f>113.02/500</f>
        <v>0.22603999999999999</v>
      </c>
      <c r="D65">
        <f>ROUNDUP((('[1]MW-DP'!C$26*'[1]MW-DP'!B$35)/500),0)</f>
        <v>0</v>
      </c>
    </row>
    <row r="66" spans="1:4" x14ac:dyDescent="0.2">
      <c r="A66" s="71" t="s">
        <v>86</v>
      </c>
      <c r="C66">
        <f>1.36+(30.11/100)</f>
        <v>1.6611</v>
      </c>
      <c r="D66">
        <f>ROUNDUP((('[1]MW-DP'!C$26*'[1]MW-DP'!B$35)/100),0)</f>
        <v>0</v>
      </c>
    </row>
    <row r="67" spans="1:4" x14ac:dyDescent="0.2">
      <c r="A67" s="93"/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9F2AB-CD8F-4D62-9B7A-69BE61BC784E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customXml/itemProps2.xml><?xml version="1.0" encoding="utf-8"?>
<ds:datastoreItem xmlns:ds="http://schemas.openxmlformats.org/officeDocument/2006/customXml" ds:itemID="{197961B6-1A61-4FED-9C2F-A7107B6EC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604C4-B337-446C-A4B9-848178AC6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EPS-Perimeter-DP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2021-12-23T11:39:35Z</cp:lastPrinted>
  <dcterms:created xsi:type="dcterms:W3CDTF">1998-08-14T12:07:20Z</dcterms:created>
  <dcterms:modified xsi:type="dcterms:W3CDTF">2025-01-21T14:08:15Z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0x010100778B287B473F6C41A4D590D68D7223CC</vt:lpwstr>
  </property>
  <property fmtid="{D5CDD505-2E9C-101B-9397-08002B2CF9AE}" pid="3" name="MediaServiceImageTags">
    <vt:lpwstr/>
  </property>
</Properties>
</file>