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99" documentId="8_{6CC2C12F-3492-4360-BE9F-995790623E3A}" xr6:coauthVersionLast="47" xr6:coauthVersionMax="47" xr10:uidLastSave="{CE18E0BF-E1A2-43E2-B8ED-20D967E10E02}"/>
  <bookViews>
    <workbookView xWindow="-120" yWindow="-120" windowWidth="29040" windowHeight="15720" xr2:uid="{00000000-000D-0000-FFFF-FFFF00000000}"/>
  </bookViews>
  <sheets>
    <sheet name="A1" sheetId="2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G20" i="2" l="1"/>
  <c r="C66" i="3"/>
  <c r="C67" i="3"/>
  <c r="C2" i="3"/>
  <c r="C1" i="3"/>
  <c r="J14" i="2"/>
  <c r="D67" i="3"/>
  <c r="J25" i="2"/>
  <c r="A53" i="2"/>
  <c r="A52" i="2"/>
  <c r="D68" i="3"/>
  <c r="D66" i="3"/>
  <c r="G27" i="2"/>
  <c r="G26" i="2"/>
  <c r="J8" i="2"/>
  <c r="F53" i="2" l="1"/>
  <c r="J17" i="2"/>
  <c r="G9" i="2"/>
  <c r="D62" i="3" l="1"/>
  <c r="D61" i="3"/>
  <c r="D58" i="3"/>
  <c r="D60" i="3"/>
  <c r="D54" i="3"/>
  <c r="D53" i="3"/>
  <c r="D52" i="3"/>
  <c r="D59" i="3"/>
  <c r="G22" i="2"/>
  <c r="D51" i="3"/>
  <c r="G23" i="2"/>
  <c r="F52" i="2" l="1"/>
  <c r="D17" i="3"/>
  <c r="D16" i="3"/>
  <c r="D38" i="3" l="1"/>
  <c r="D37" i="3"/>
  <c r="D35" i="3"/>
  <c r="F43" i="2" l="1"/>
  <c r="F51" i="2"/>
  <c r="F50" i="2"/>
  <c r="F49" i="2"/>
  <c r="F48" i="2"/>
  <c r="F47" i="2"/>
  <c r="F44" i="2"/>
  <c r="F41" i="2"/>
  <c r="G25" i="2"/>
  <c r="F42" i="2" l="1"/>
  <c r="D36" i="3" l="1"/>
  <c r="D9" i="3"/>
  <c r="D10" i="3"/>
  <c r="D11" i="3"/>
  <c r="D12" i="3"/>
  <c r="D13" i="3"/>
  <c r="D14" i="3"/>
  <c r="D15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8" i="3"/>
  <c r="A51" i="2"/>
  <c r="A46" i="2"/>
  <c r="F46" i="2" s="1"/>
  <c r="A45" i="2"/>
  <c r="A44" i="2"/>
  <c r="G16" i="2"/>
  <c r="G14" i="2"/>
  <c r="C14" i="2"/>
  <c r="G13" i="2"/>
  <c r="A42" i="2"/>
  <c r="A41" i="2"/>
  <c r="F45" i="2" l="1"/>
  <c r="H9" i="2"/>
  <c r="E25" i="2"/>
  <c r="E20" i="2"/>
  <c r="H20" i="2" s="1"/>
  <c r="I20" i="2" s="1"/>
  <c r="E21" i="2"/>
  <c r="H21" i="2" s="1"/>
  <c r="I21" i="2" s="1"/>
  <c r="E23" i="2"/>
  <c r="H23" i="2" s="1"/>
  <c r="I23" i="2" s="1"/>
  <c r="H8" i="2"/>
  <c r="I8" i="2" s="1"/>
  <c r="E10" i="2"/>
  <c r="H10" i="2" s="1"/>
  <c r="I10" i="2" s="1"/>
  <c r="L10" i="2" s="1"/>
  <c r="E11" i="2"/>
  <c r="H11" i="2" s="1"/>
  <c r="I11" i="2" s="1"/>
  <c r="L11" i="2" s="1"/>
  <c r="E13" i="2"/>
  <c r="E14" i="2"/>
  <c r="E27" i="2" s="1"/>
  <c r="H27" i="2" s="1"/>
  <c r="I27" i="2" s="1"/>
  <c r="L27" i="2" s="1"/>
  <c r="E16" i="2"/>
  <c r="H16" i="2" s="1"/>
  <c r="I16" i="2" s="1"/>
  <c r="L16" i="2" s="1"/>
  <c r="E22" i="2"/>
  <c r="H22" i="2" s="1"/>
  <c r="I22" i="2" s="1"/>
  <c r="L22" i="2" s="1"/>
  <c r="H14" i="2" l="1"/>
  <c r="I14" i="2" s="1"/>
  <c r="L14" i="2" s="1"/>
  <c r="H13" i="2"/>
  <c r="I13" i="2" s="1"/>
  <c r="L13" i="2" s="1"/>
  <c r="E26" i="2"/>
  <c r="H26" i="2" s="1"/>
  <c r="I26" i="2" s="1"/>
  <c r="L26" i="2" s="1"/>
  <c r="I9" i="2"/>
  <c r="L9" i="2" s="1"/>
  <c r="F33" i="2"/>
  <c r="L23" i="2"/>
  <c r="L21" i="2"/>
  <c r="F34" i="2"/>
  <c r="F35" i="2"/>
  <c r="L20" i="2"/>
  <c r="L8" i="2"/>
  <c r="I12" i="2" l="1"/>
  <c r="I15" i="2" s="1"/>
  <c r="I17" i="2" s="1"/>
  <c r="F32" i="2" s="1"/>
  <c r="L12" i="2"/>
  <c r="L15" i="2" s="1"/>
  <c r="L17" i="2" s="1"/>
  <c r="H25" i="2"/>
  <c r="I25" i="2" s="1"/>
  <c r="L25" i="2" l="1"/>
  <c r="F36" i="2"/>
  <c r="F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25" authorId="1" shapeId="0" xr:uid="{00000000-0006-0000-0000-000005000000}">
      <text>
        <r>
          <rPr>
            <sz val="8"/>
            <color indexed="10"/>
            <rFont val="Tahoma"/>
            <family val="2"/>
          </rPr>
          <t>Verankerungslängen beachten!
(ca. 60 mm)</t>
        </r>
      </text>
    </comment>
  </commentList>
</comments>
</file>

<file path=xl/sharedStrings.xml><?xml version="1.0" encoding="utf-8"?>
<sst xmlns="http://schemas.openxmlformats.org/spreadsheetml/2006/main" count="157" uniqueCount="105">
  <si>
    <t>Zeitauf-wand</t>
  </si>
  <si>
    <t>kg</t>
  </si>
  <si>
    <t>m²</t>
  </si>
  <si>
    <t>l</t>
  </si>
  <si>
    <t>Preis incl. Edelputz</t>
  </si>
  <si>
    <t>Zubehör</t>
  </si>
  <si>
    <t>Preis Grundaufbau</t>
  </si>
  <si>
    <t>Dämmstärke</t>
  </si>
  <si>
    <t>m</t>
  </si>
  <si>
    <t>Bauaufsichtliche Zulassungen bitte beachten!</t>
  </si>
  <si>
    <t>Bedarf/m²                ca.</t>
  </si>
  <si>
    <t>z. B.</t>
  </si>
  <si>
    <t>/m²</t>
  </si>
  <si>
    <t>/m</t>
  </si>
  <si>
    <t>min</t>
  </si>
  <si>
    <t>%</t>
  </si>
  <si>
    <t>Rabatt-satz</t>
  </si>
  <si>
    <t>lfm</t>
  </si>
  <si>
    <t>Materialkosten</t>
  </si>
  <si>
    <t>Gesamt €</t>
  </si>
  <si>
    <t>Verdübelung</t>
  </si>
  <si>
    <t>Systempreis</t>
  </si>
  <si>
    <t>Wandfläche</t>
  </si>
  <si>
    <t>Leibungen</t>
  </si>
  <si>
    <t>Gebäudeecken</t>
  </si>
  <si>
    <t>Sockel</t>
  </si>
  <si>
    <t>St.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</si>
  <si>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</si>
  <si>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</si>
  <si>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</si>
  <si>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</si>
  <si>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</si>
  <si>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Materialbedarf</t>
  </si>
  <si>
    <t>HECK Sockelprofil</t>
  </si>
  <si>
    <t>HECK Kantenprofil m. Gewebe 100/150</t>
  </si>
  <si>
    <t>Lohn + Material</t>
  </si>
  <si>
    <t>HECK Anputzleiste mini mit Gewebe  2,4 m</t>
  </si>
  <si>
    <t>HECK Fugendichtband 14/2-6</t>
  </si>
  <si>
    <t>HECK Coverrock II 035</t>
  </si>
  <si>
    <t>HECK Schraubdübel STR-U 2G     115 mm</t>
  </si>
  <si>
    <t>HECK Schraubdübel STR-U 2G     135 mm</t>
  </si>
  <si>
    <t>HECK Schraubdübel STR-U 2G     155 mm</t>
  </si>
  <si>
    <t>HECK Schraubdübel STR-U 2G     175 mm</t>
  </si>
  <si>
    <t>HECK Schraubdübel STR-U 2G     195 mm</t>
  </si>
  <si>
    <t>HECK Schraubdübel STR-U 2G     215 mm</t>
  </si>
  <si>
    <t>HECK Schraubdübel STR-U 2G     235 mm</t>
  </si>
  <si>
    <t>HECK Schraubdübel STR-U 2G     255 mm</t>
  </si>
  <si>
    <t>HECK Schraubdübel STR-U 2G     275 mm</t>
  </si>
  <si>
    <t>HECK Schraubdübel STR-U 2G     295 mm</t>
  </si>
  <si>
    <t>HECK K+A A1</t>
  </si>
  <si>
    <t>HECK MW-Lamelle 040-II</t>
  </si>
  <si>
    <t>HECK MW A1</t>
  </si>
  <si>
    <t>HECK Gewebeeckwinkel PVC (100x150 mm)</t>
  </si>
  <si>
    <t>HECK Anputzleiste mini mit Gewebe</t>
  </si>
  <si>
    <t>HECK Anputzleiste W30 Plus</t>
  </si>
  <si>
    <t>HECK Fugendichtband 20/2-6</t>
  </si>
  <si>
    <t>HECK Fugendichtband 20/4-9</t>
  </si>
  <si>
    <t>HECK Fugendichtband 14/3-9</t>
  </si>
  <si>
    <t>HECK Fugendichtband 14/5-12</t>
  </si>
  <si>
    <t>Dübelzubehör:</t>
  </si>
  <si>
    <t>HECK Dübelteller VT2G + HECK STR-Rondelle MW</t>
  </si>
  <si>
    <t>z. B. je</t>
  </si>
  <si>
    <t>HECK Dübelteller 90</t>
  </si>
  <si>
    <t xml:space="preserve">z. B. </t>
  </si>
  <si>
    <t>HECK STR-Verschlusselement Steinwolle</t>
  </si>
  <si>
    <t>HECK AGG A1 (Armierungsgewebe A1 fein)</t>
  </si>
  <si>
    <t>HECK UG (Universalgrundierung) weiß</t>
  </si>
  <si>
    <t>HECK UG (Universalgrundierung) farbig (HBW 100-70)</t>
  </si>
  <si>
    <t>HECK STR (Strukturputz) KC2 weiß</t>
  </si>
  <si>
    <t>HECK STR (Strukturputz) KC2 farbig (HBW 100-70)</t>
  </si>
  <si>
    <t>HECK STR (Strukturputz) KC3 weiß</t>
  </si>
  <si>
    <t>HECK STR (Strukturputz) KC3 farbig (HBW 100-70)</t>
  </si>
  <si>
    <t>HECK STR (Strukturputz) KC4 weiß</t>
  </si>
  <si>
    <t>HECK STR (Strukturputz) KC4 farbig (HBW 100-70)</t>
  </si>
  <si>
    <t>HECK STR (Strukturputz) R3 weiß</t>
  </si>
  <si>
    <t>HECK STR (Strukturputz) R3 farbig (HBW 100-70)</t>
  </si>
  <si>
    <t>HECK ED (Edel-Dekor) KC1,5 weiß</t>
  </si>
  <si>
    <t>HECK ED (Edel-Dekor) KC1,5 farbig (HBW 100-70)</t>
  </si>
  <si>
    <t>HECK ED (Edel-Dekor) KC2 weiß</t>
  </si>
  <si>
    <t>HECK ED (Edel-Dekor)r KC2 farbig (HBW 100-70)</t>
  </si>
  <si>
    <t>HECK ED (Edel-Dekor) KC3 weiß</t>
  </si>
  <si>
    <t>HECK ED (Edel-Dekor) KC3 farbig (HBW 100-70)</t>
  </si>
  <si>
    <t>HECK ED (Edel-Dekor) KC4 weiß</t>
  </si>
  <si>
    <t>HECK ED (Edel-Dekor) KC4 farbig (HBW 100-70)</t>
  </si>
  <si>
    <t>HECK ED (Edel-Dekor) R3 weiß</t>
  </si>
  <si>
    <t>HECK ED (Edel-Dekor) R3 farbig (HBW 100-70)</t>
  </si>
  <si>
    <t>HECK ED (Edel-Dekor) R4 weiß</t>
  </si>
  <si>
    <t>HECK ED (Edel-Dekor) R4 farbig (HBW 100-70)</t>
  </si>
  <si>
    <t>HECK ED (Edel-Dekor) Waschelputz fein weiß</t>
  </si>
  <si>
    <t>HECK ED (Edel-Dekor) Waschelputz fein farbig (HBW 100-70)</t>
  </si>
  <si>
    <t>HECK ED (Edel-Dekor) Waschelputz grob weiß</t>
  </si>
  <si>
    <t>HECK ED (Edel-Dekor) Waschelputz grob farbig (HBW 100-70)</t>
  </si>
  <si>
    <t>HECK EP WD (Edelputz WD) Kratzputz Jura weiß</t>
  </si>
  <si>
    <t>HECK EP WD (Edelputz WD) Kratzputz Jura farbig (HBW 100-70)</t>
  </si>
  <si>
    <t>HECK SIF (Silikat-Fassadenfarbe) weiß</t>
  </si>
  <si>
    <t>HECK SIF (Silikat-Fassadenfarbe) farbig (HBW 100-70)</t>
  </si>
  <si>
    <t>HECK SILCO FF (Silicon-Fassadenfinish) weiß</t>
  </si>
  <si>
    <t>HECK SILCO FF (Silicon-Fassadenfinish) farbig (HBW 100-70)</t>
  </si>
  <si>
    <t>HECK Coverrock X-2</t>
  </si>
  <si>
    <t xml:space="preserve">Bei den Angaben in der Tabelle handelt es sich um Richtwerte aus der "Zeitaufwand-Tabelle - Ausbau / Fassade, 5. Auflage" </t>
  </si>
  <si>
    <t>können je nach den örtlichen Gegebenheiten auch in größerem Umfang von den Richtwerten abweichen.</t>
  </si>
  <si>
    <t>vom Fachverband der Stuckateuere für Ausbau und Fassade. Die tatsächlichen Verbräuche und vor allem Zeitwerte</t>
  </si>
  <si>
    <t>HECK Anputzleiste Membran Giga Flex</t>
  </si>
  <si>
    <t>HECK Anputzleiste W38</t>
  </si>
  <si>
    <t>Listenpreis
2025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</si>
</sst>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Sack&quot;"/>
    <numFmt numFmtId="170" formatCode="0\ &quot;Rollen&quot;"/>
    <numFmt numFmtId="171" formatCode="0\ &quot;Gebinde&quot;"/>
    <numFmt numFmtId="172" formatCode="0\ &quot;Stück&quot;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9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166" fontId="15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2" fontId="15" fillId="0" borderId="4" xfId="1" applyNumberFormat="1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72" fontId="18" fillId="0" borderId="0" xfId="0" applyNumberFormat="1" applyFont="1"/>
    <xf numFmtId="0" fontId="15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7" fontId="15" fillId="0" borderId="14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2" fontId="15" fillId="0" borderId="12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 wrapText="1"/>
    </xf>
    <xf numFmtId="2" fontId="15" fillId="0" borderId="4" xfId="1" applyNumberFormat="1" applyFont="1" applyBorder="1" applyAlignment="1">
      <alignment horizontal="center" vertical="center"/>
    </xf>
    <xf numFmtId="2" fontId="15" fillId="0" borderId="3" xfId="1" applyNumberFormat="1" applyFont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vertical="center" wrapText="1"/>
    </xf>
    <xf numFmtId="2" fontId="22" fillId="0" borderId="0" xfId="0" applyNumberFormat="1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2" fontId="15" fillId="0" borderId="0" xfId="1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left" vertical="center"/>
    </xf>
    <xf numFmtId="167" fontId="15" fillId="0" borderId="0" xfId="1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5" fillId="0" borderId="36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right" vertical="center"/>
    </xf>
    <xf numFmtId="0" fontId="15" fillId="0" borderId="38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right" vertical="center"/>
    </xf>
    <xf numFmtId="2" fontId="15" fillId="0" borderId="38" xfId="1" applyNumberFormat="1" applyFont="1" applyBorder="1" applyAlignment="1">
      <alignment horizontal="center" vertical="center"/>
    </xf>
    <xf numFmtId="2" fontId="15" fillId="0" borderId="35" xfId="0" applyNumberFormat="1" applyFont="1" applyBorder="1" applyAlignment="1">
      <alignment horizontal="center" vertical="center"/>
    </xf>
    <xf numFmtId="2" fontId="15" fillId="0" borderId="39" xfId="0" applyNumberFormat="1" applyFont="1" applyBorder="1" applyAlignment="1">
      <alignment horizontal="center" vertical="center"/>
    </xf>
    <xf numFmtId="167" fontId="15" fillId="0" borderId="42" xfId="1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Border="1"/>
    <xf numFmtId="2" fontId="8" fillId="0" borderId="5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172" fontId="18" fillId="0" borderId="5" xfId="0" applyNumberFormat="1" applyFont="1" applyBorder="1"/>
    <xf numFmtId="172" fontId="18" fillId="0" borderId="4" xfId="0" applyNumberFormat="1" applyFont="1" applyBorder="1"/>
    <xf numFmtId="14" fontId="15" fillId="0" borderId="12" xfId="0" applyNumberFormat="1" applyFont="1" applyBorder="1" applyAlignment="1">
      <alignment horizontal="left"/>
    </xf>
    <xf numFmtId="171" fontId="18" fillId="0" borderId="5" xfId="0" applyNumberFormat="1" applyFont="1" applyBorder="1"/>
    <xf numFmtId="171" fontId="18" fillId="0" borderId="4" xfId="0" applyNumberFormat="1" applyFont="1" applyBorder="1"/>
    <xf numFmtId="170" fontId="18" fillId="0" borderId="5" xfId="0" applyNumberFormat="1" applyFont="1" applyBorder="1"/>
    <xf numFmtId="170" fontId="18" fillId="0" borderId="4" xfId="0" applyNumberFormat="1" applyFont="1" applyBorder="1"/>
    <xf numFmtId="2" fontId="8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9" fontId="18" fillId="0" borderId="5" xfId="0" applyNumberFormat="1" applyFont="1" applyBorder="1"/>
    <xf numFmtId="169" fontId="18" fillId="0" borderId="4" xfId="0" applyNumberFormat="1" applyFont="1" applyBorder="1"/>
    <xf numFmtId="0" fontId="15" fillId="0" borderId="12" xfId="0" applyFont="1" applyBorder="1" applyAlignment="1">
      <alignment horizontal="left"/>
    </xf>
    <xf numFmtId="2" fontId="15" fillId="0" borderId="5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right" vertical="center"/>
    </xf>
    <xf numFmtId="1" fontId="15" fillId="0" borderId="3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right" vertical="center"/>
    </xf>
    <xf numFmtId="1" fontId="15" fillId="0" borderId="10" xfId="0" applyNumberFormat="1" applyFont="1" applyBorder="1" applyAlignment="1">
      <alignment horizontal="right" vertical="center"/>
    </xf>
    <xf numFmtId="1" fontId="15" fillId="0" borderId="40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34" xfId="0" applyNumberFormat="1" applyFont="1" applyBorder="1" applyAlignment="1">
      <alignment horizontal="left" vertical="center"/>
    </xf>
    <xf numFmtId="1" fontId="15" fillId="0" borderId="41" xfId="0" applyNumberFormat="1" applyFont="1" applyBorder="1" applyAlignment="1">
      <alignment horizontal="left" vertical="center"/>
    </xf>
    <xf numFmtId="1" fontId="15" fillId="0" borderId="21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4" fillId="3" borderId="2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right" vertical="center"/>
    </xf>
    <xf numFmtId="167" fontId="7" fillId="0" borderId="17" xfId="1" applyNumberFormat="1" applyFont="1" applyBorder="1" applyAlignment="1">
      <alignment horizontal="right"/>
    </xf>
    <xf numFmtId="167" fontId="7" fillId="0" borderId="18" xfId="1" applyNumberFormat="1" applyFont="1" applyBorder="1" applyAlignment="1">
      <alignment horizontal="right"/>
    </xf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  <xf numFmtId="168" fontId="18" fillId="0" borderId="12" xfId="0" applyNumberFormat="1" applyFont="1" applyBorder="1" applyAlignment="1">
      <alignment horizontal="right"/>
    </xf>
    <xf numFmtId="169" fontId="18" fillId="0" borderId="12" xfId="0" applyNumberFormat="1" applyFont="1" applyBorder="1"/>
    <xf numFmtId="170" fontId="18" fillId="0" borderId="12" xfId="0" applyNumberFormat="1" applyFont="1" applyBorder="1"/>
    <xf numFmtId="171" fontId="18" fillId="0" borderId="12" xfId="0" applyNumberFormat="1" applyFont="1" applyBorder="1"/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0" fontId="15" fillId="0" borderId="0" xfId="0" applyFont="1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showGridLines="0" tabSelected="1" zoomScaleNormal="100" workbookViewId="0">
      <selection activeCell="A23" sqref="A23"/>
    </sheetView>
  </sheetViews>
  <sheetFormatPr baseColWidth="10" defaultRowHeight="12.75" x14ac:dyDescent="0.2"/>
  <cols>
    <col min="1" max="1" width="30.28515625" style="11" customWidth="1"/>
    <col min="2" max="2" width="4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7" s="3" customFormat="1" ht="14.1" customHeight="1" x14ac:dyDescent="0.25">
      <c r="A1" s="52"/>
      <c r="B1" s="13"/>
      <c r="C1" s="2"/>
      <c r="D1" s="2"/>
      <c r="E1" s="2"/>
      <c r="F1" s="49"/>
      <c r="H1" s="53"/>
      <c r="I1" s="53"/>
      <c r="J1" s="53"/>
      <c r="K1" s="53"/>
      <c r="L1" s="53"/>
      <c r="M1" s="53"/>
    </row>
    <row r="2" spans="1:17" s="3" customFormat="1" ht="14.1" customHeight="1" x14ac:dyDescent="0.25">
      <c r="A2" s="9"/>
      <c r="B2" s="9"/>
      <c r="C2" s="2"/>
      <c r="D2" s="2"/>
      <c r="E2" s="2"/>
      <c r="F2" s="2"/>
      <c r="G2" s="2"/>
    </row>
    <row r="3" spans="1:17" s="3" customFormat="1" ht="14.1" customHeight="1" x14ac:dyDescent="0.25">
      <c r="A3" s="9"/>
      <c r="B3" s="9"/>
      <c r="C3" s="2"/>
      <c r="D3" s="2"/>
      <c r="E3" s="2"/>
      <c r="F3" s="2"/>
      <c r="G3" s="2"/>
      <c r="J3" s="18"/>
    </row>
    <row r="4" spans="1:17" ht="14.1" customHeight="1" x14ac:dyDescent="0.2">
      <c r="A4" s="10"/>
      <c r="B4" s="10"/>
      <c r="C4" s="1"/>
      <c r="D4" s="1"/>
      <c r="E4" s="1"/>
      <c r="F4" s="1"/>
      <c r="G4" s="1"/>
      <c r="J4" s="154"/>
      <c r="K4" s="154"/>
      <c r="L4" s="17"/>
      <c r="M4" s="17"/>
    </row>
    <row r="5" spans="1:17" ht="14.1" customHeight="1" thickBot="1" x14ac:dyDescent="0.25"/>
    <row r="6" spans="1:17" s="4" customFormat="1" ht="24" customHeight="1" x14ac:dyDescent="0.2">
      <c r="A6" s="155" t="s">
        <v>51</v>
      </c>
      <c r="B6" s="159" t="s">
        <v>7</v>
      </c>
      <c r="C6" s="160"/>
      <c r="D6" s="161"/>
      <c r="E6" s="159" t="s">
        <v>16</v>
      </c>
      <c r="F6" s="161"/>
      <c r="G6" s="141" t="s">
        <v>104</v>
      </c>
      <c r="H6" s="139">
        <v>100</v>
      </c>
      <c r="I6" s="140"/>
      <c r="J6" s="157" t="s">
        <v>0</v>
      </c>
      <c r="K6" s="158"/>
      <c r="L6" s="63" t="s">
        <v>35</v>
      </c>
    </row>
    <row r="7" spans="1:17" s="4" customFormat="1" ht="24" customHeight="1" x14ac:dyDescent="0.2">
      <c r="A7" s="156"/>
      <c r="B7" s="162" t="s">
        <v>10</v>
      </c>
      <c r="C7" s="163"/>
      <c r="D7" s="164"/>
      <c r="E7" s="165"/>
      <c r="F7" s="166"/>
      <c r="G7" s="142"/>
      <c r="H7" s="19">
        <v>180</v>
      </c>
      <c r="I7" s="20" t="s">
        <v>19</v>
      </c>
      <c r="J7" s="145" t="s">
        <v>14</v>
      </c>
      <c r="K7" s="146"/>
      <c r="L7" s="64">
        <v>0</v>
      </c>
    </row>
    <row r="8" spans="1:17" s="4" customFormat="1" ht="24" customHeight="1" x14ac:dyDescent="0.2">
      <c r="A8" s="21" t="s">
        <v>49</v>
      </c>
      <c r="B8" s="22"/>
      <c r="C8" s="23">
        <v>4.0999999999999996</v>
      </c>
      <c r="D8" s="24" t="s">
        <v>1</v>
      </c>
      <c r="E8" s="25">
        <v>0</v>
      </c>
      <c r="F8" s="24" t="s">
        <v>15</v>
      </c>
      <c r="G8" s="92">
        <v>1.63</v>
      </c>
      <c r="H8" s="26">
        <f>G8-G8*E8/100</f>
        <v>1.63</v>
      </c>
      <c r="I8" s="27">
        <f>PRODUCT(C8,H8)</f>
        <v>6.68</v>
      </c>
      <c r="J8" s="143">
        <f>VLOOKUP(A9,Tabelle1!A1:E3,5,0)</f>
        <v>25</v>
      </c>
      <c r="K8" s="150" t="s">
        <v>12</v>
      </c>
      <c r="L8" s="65">
        <f>SUM(I8+(J8*L7))</f>
        <v>6.68</v>
      </c>
    </row>
    <row r="9" spans="1:17" s="4" customFormat="1" ht="24" customHeight="1" x14ac:dyDescent="0.2">
      <c r="A9" s="89" t="s">
        <v>98</v>
      </c>
      <c r="B9" s="22"/>
      <c r="C9" s="30">
        <v>1</v>
      </c>
      <c r="D9" s="24" t="s">
        <v>2</v>
      </c>
      <c r="E9" s="25">
        <v>0</v>
      </c>
      <c r="F9" s="24" t="s">
        <v>15</v>
      </c>
      <c r="G9" s="55">
        <f>VLOOKUP(A9,Tabelle1!A1:C3,3,0)</f>
        <v>49.36</v>
      </c>
      <c r="H9" s="26">
        <f t="shared" ref="H9:H16" si="0">G9-G9*E9/100</f>
        <v>49.36</v>
      </c>
      <c r="I9" s="27">
        <f>PRODUCT(C9,H9)</f>
        <v>49.36</v>
      </c>
      <c r="J9" s="144"/>
      <c r="K9" s="153"/>
      <c r="L9" s="65">
        <f>SUM(I9)</f>
        <v>49.36</v>
      </c>
    </row>
    <row r="10" spans="1:17" s="4" customFormat="1" ht="24" customHeight="1" x14ac:dyDescent="0.2">
      <c r="A10" s="21" t="s">
        <v>49</v>
      </c>
      <c r="B10" s="22"/>
      <c r="C10" s="23">
        <v>5</v>
      </c>
      <c r="D10" s="24" t="s">
        <v>1</v>
      </c>
      <c r="E10" s="25" t="str">
        <f>REPT(E8,1)</f>
        <v>0</v>
      </c>
      <c r="F10" s="24" t="s">
        <v>15</v>
      </c>
      <c r="G10" s="92">
        <v>1.63</v>
      </c>
      <c r="H10" s="26">
        <f t="shared" si="0"/>
        <v>1.63</v>
      </c>
      <c r="I10" s="27">
        <f>PRODUCT(C10,H10)</f>
        <v>8.15</v>
      </c>
      <c r="J10" s="147">
        <v>16</v>
      </c>
      <c r="K10" s="150" t="s">
        <v>12</v>
      </c>
      <c r="L10" s="65">
        <f>SUM(I10+(J10*L7))</f>
        <v>8.15</v>
      </c>
    </row>
    <row r="11" spans="1:17" s="4" customFormat="1" ht="30" customHeight="1" x14ac:dyDescent="0.2">
      <c r="A11" s="21" t="s">
        <v>65</v>
      </c>
      <c r="B11" s="22"/>
      <c r="C11" s="23">
        <v>1.1000000000000001</v>
      </c>
      <c r="D11" s="24" t="s">
        <v>2</v>
      </c>
      <c r="E11" s="25" t="str">
        <f>REPT(E8,1)</f>
        <v>0</v>
      </c>
      <c r="F11" s="24" t="s">
        <v>15</v>
      </c>
      <c r="G11" s="92">
        <v>2.68</v>
      </c>
      <c r="H11" s="26">
        <f t="shared" si="0"/>
        <v>2.68</v>
      </c>
      <c r="I11" s="27">
        <f>PRODUCT(C11,H11)</f>
        <v>2.95</v>
      </c>
      <c r="J11" s="167"/>
      <c r="K11" s="153"/>
      <c r="L11" s="65">
        <f>I11</f>
        <v>2.95</v>
      </c>
      <c r="Q11" s="96"/>
    </row>
    <row r="12" spans="1:17" s="5" customFormat="1" ht="24" customHeight="1" x14ac:dyDescent="0.2">
      <c r="A12" s="74" t="s">
        <v>6</v>
      </c>
      <c r="B12" s="75"/>
      <c r="C12" s="76"/>
      <c r="D12" s="77"/>
      <c r="E12" s="78"/>
      <c r="F12" s="77"/>
      <c r="G12" s="79"/>
      <c r="H12" s="80"/>
      <c r="I12" s="81">
        <f>ROUND(SUM(I8:I11),2)</f>
        <v>67.14</v>
      </c>
      <c r="J12" s="82"/>
      <c r="K12" s="83"/>
      <c r="L12" s="84">
        <f>SUM(L8:L11)</f>
        <v>67.14</v>
      </c>
      <c r="Q12" s="96"/>
    </row>
    <row r="13" spans="1:17" s="4" customFormat="1" ht="25.5" x14ac:dyDescent="0.2">
      <c r="A13" s="89" t="s">
        <v>66</v>
      </c>
      <c r="B13" s="33"/>
      <c r="C13" s="23">
        <v>0.2</v>
      </c>
      <c r="D13" s="24" t="s">
        <v>3</v>
      </c>
      <c r="E13" s="25" t="str">
        <f>REPT(E8,1)</f>
        <v>0</v>
      </c>
      <c r="F13" s="24" t="s">
        <v>15</v>
      </c>
      <c r="G13" s="92">
        <f>VLOOKUP(A13,Tabelle1!A5:C6,3,0)</f>
        <v>7.37</v>
      </c>
      <c r="H13" s="26">
        <f t="shared" si="0"/>
        <v>7.37</v>
      </c>
      <c r="I13" s="27">
        <f>PRODUCT(C13,H13)</f>
        <v>1.47</v>
      </c>
      <c r="J13" s="28">
        <v>4</v>
      </c>
      <c r="K13" s="29" t="s">
        <v>12</v>
      </c>
      <c r="L13" s="65">
        <f>SUM(I13+(J13*L7))</f>
        <v>1.47</v>
      </c>
      <c r="Q13" s="96"/>
    </row>
    <row r="14" spans="1:17" s="4" customFormat="1" ht="25.5" x14ac:dyDescent="0.2">
      <c r="A14" s="89" t="s">
        <v>92</v>
      </c>
      <c r="B14" s="34"/>
      <c r="C14" s="30">
        <f>VLOOKUP(A14,Tabelle1!A8:B33,2,0)</f>
        <v>18</v>
      </c>
      <c r="D14" s="24" t="s">
        <v>1</v>
      </c>
      <c r="E14" s="25" t="str">
        <f>REPT(E8,1)</f>
        <v>0</v>
      </c>
      <c r="F14" s="24" t="s">
        <v>15</v>
      </c>
      <c r="G14" s="92">
        <f>VLOOKUP(A14,Tabelle1!A:C,3,0)</f>
        <v>2.2200000000000002</v>
      </c>
      <c r="H14" s="26">
        <f t="shared" si="0"/>
        <v>2.2200000000000002</v>
      </c>
      <c r="I14" s="27">
        <f>PRODUCT(C14,H14)</f>
        <v>39.96</v>
      </c>
      <c r="J14" s="31">
        <f>VLOOKUP(A14,Tabelle1!A8:E33,5,0)</f>
        <v>27</v>
      </c>
      <c r="K14" s="32" t="s">
        <v>12</v>
      </c>
      <c r="L14" s="65">
        <f>SUM(I14+(J14*L7))</f>
        <v>39.96</v>
      </c>
      <c r="Q14" s="96"/>
    </row>
    <row r="15" spans="1:17" s="5" customFormat="1" ht="24" customHeight="1" x14ac:dyDescent="0.2">
      <c r="A15" s="74" t="s">
        <v>4</v>
      </c>
      <c r="B15" s="75"/>
      <c r="C15" s="76"/>
      <c r="D15" s="77"/>
      <c r="E15" s="78"/>
      <c r="F15" s="77"/>
      <c r="G15" s="79"/>
      <c r="H15" s="80"/>
      <c r="I15" s="81">
        <f>ROUND(SUM(I12:I14),2)</f>
        <v>108.57</v>
      </c>
      <c r="J15" s="82"/>
      <c r="K15" s="83"/>
      <c r="L15" s="84">
        <f>SUM(L12:L14)</f>
        <v>108.57</v>
      </c>
      <c r="Q15" s="96"/>
    </row>
    <row r="16" spans="1:17" s="4" customFormat="1" ht="24" customHeight="1" x14ac:dyDescent="0.2">
      <c r="A16" s="89" t="s">
        <v>94</v>
      </c>
      <c r="B16" s="34"/>
      <c r="C16" s="23">
        <v>0.2</v>
      </c>
      <c r="D16" s="24" t="s">
        <v>3</v>
      </c>
      <c r="E16" s="25" t="str">
        <f>REPT(E8,1)</f>
        <v>0</v>
      </c>
      <c r="F16" s="24" t="s">
        <v>15</v>
      </c>
      <c r="G16" s="92">
        <f>VLOOKUP(A16,Tabelle1!A:E,3,0)</f>
        <v>14.65</v>
      </c>
      <c r="H16" s="26">
        <f t="shared" si="0"/>
        <v>14.65</v>
      </c>
      <c r="I16" s="27">
        <f>PRODUCT(C16,H16)</f>
        <v>2.93</v>
      </c>
      <c r="J16" s="28">
        <v>11</v>
      </c>
      <c r="K16" s="29" t="s">
        <v>12</v>
      </c>
      <c r="L16" s="65">
        <f>SUM(I16+(J16*L7))</f>
        <v>2.93</v>
      </c>
      <c r="Q16" s="96"/>
    </row>
    <row r="17" spans="1:17" s="5" customFormat="1" ht="24" customHeight="1" x14ac:dyDescent="0.2">
      <c r="A17" s="85" t="s">
        <v>21</v>
      </c>
      <c r="B17" s="86"/>
      <c r="C17" s="87"/>
      <c r="D17" s="88"/>
      <c r="E17" s="78"/>
      <c r="F17" s="77"/>
      <c r="G17" s="79"/>
      <c r="H17" s="80"/>
      <c r="I17" s="81">
        <f>ROUND(SUM(I15:I16),2)</f>
        <v>111.5</v>
      </c>
      <c r="J17" s="82">
        <f>SUM(J8:J16)</f>
        <v>83</v>
      </c>
      <c r="K17" s="83" t="s">
        <v>12</v>
      </c>
      <c r="L17" s="84">
        <f>ROUND(SUM(L15:L16),2)</f>
        <v>111.5</v>
      </c>
      <c r="Q17" s="96"/>
    </row>
    <row r="18" spans="1:17" s="4" customFormat="1" ht="9.9499999999999993" customHeight="1" x14ac:dyDescent="0.2">
      <c r="A18" s="35"/>
      <c r="B18" s="36"/>
      <c r="C18" s="104"/>
      <c r="D18" s="104"/>
      <c r="E18" s="105"/>
      <c r="F18" s="36"/>
      <c r="G18" s="106"/>
      <c r="H18" s="104"/>
      <c r="I18" s="104"/>
      <c r="J18" s="107"/>
      <c r="K18" s="36"/>
      <c r="L18" s="66"/>
    </row>
    <row r="19" spans="1:17" s="4" customFormat="1" ht="24" customHeight="1" x14ac:dyDescent="0.2">
      <c r="A19" s="37" t="s">
        <v>5</v>
      </c>
      <c r="B19" s="38"/>
      <c r="C19" s="39"/>
      <c r="D19" s="39"/>
      <c r="E19" s="40"/>
      <c r="F19" s="41"/>
      <c r="G19" s="42"/>
      <c r="H19" s="43"/>
      <c r="I19" s="43"/>
      <c r="J19" s="44"/>
      <c r="K19" s="56"/>
      <c r="L19" s="66"/>
    </row>
    <row r="20" spans="1:17" s="4" customFormat="1" ht="24" customHeight="1" x14ac:dyDescent="0.2">
      <c r="A20" s="45" t="s">
        <v>33</v>
      </c>
      <c r="B20" s="46"/>
      <c r="C20" s="47">
        <v>1</v>
      </c>
      <c r="D20" s="24" t="s">
        <v>8</v>
      </c>
      <c r="E20" s="25" t="str">
        <f>REPT(E8,1)</f>
        <v>0</v>
      </c>
      <c r="F20" s="24" t="s">
        <v>15</v>
      </c>
      <c r="G20" s="55">
        <f>IF(H6=60,5.87,IF(H6=80,6.58,IF(H6=100,8.33,IF(H6=120,10.34,IF(H6=140,11.64,IF(H6=160,13.02,IF(H6=180,14.35,IF(H6=200,15.68,"Preis ?"))))))))</f>
        <v>8.33</v>
      </c>
      <c r="H20" s="26">
        <f>G20-G20*E20/100</f>
        <v>8.33</v>
      </c>
      <c r="I20" s="27">
        <f>PRODUCT(C20,H20)</f>
        <v>8.33</v>
      </c>
      <c r="J20" s="44">
        <v>12</v>
      </c>
      <c r="K20" s="32" t="s">
        <v>13</v>
      </c>
      <c r="L20" s="65">
        <f>SUM(I20+(J20*L7))</f>
        <v>8.33</v>
      </c>
    </row>
    <row r="21" spans="1:17" s="4" customFormat="1" ht="27.75" customHeight="1" x14ac:dyDescent="0.2">
      <c r="A21" s="21" t="s">
        <v>52</v>
      </c>
      <c r="B21" s="22"/>
      <c r="C21" s="47">
        <v>1</v>
      </c>
      <c r="D21" s="24" t="s">
        <v>8</v>
      </c>
      <c r="E21" s="25" t="str">
        <f>REPT(E8,1)</f>
        <v>0</v>
      </c>
      <c r="F21" s="24" t="s">
        <v>15</v>
      </c>
      <c r="G21" s="92">
        <v>2.46</v>
      </c>
      <c r="H21" s="26">
        <f>G21-G21*E21/100</f>
        <v>2.46</v>
      </c>
      <c r="I21" s="27">
        <f>PRODUCT(C21,H21)</f>
        <v>2.46</v>
      </c>
      <c r="J21" s="44">
        <v>8</v>
      </c>
      <c r="K21" s="32" t="s">
        <v>13</v>
      </c>
      <c r="L21" s="65">
        <f>SUM(I21+(J21*L7))</f>
        <v>2.46</v>
      </c>
    </row>
    <row r="22" spans="1:17" s="4" customFormat="1" ht="24" customHeight="1" x14ac:dyDescent="0.2">
      <c r="A22" s="89" t="s">
        <v>55</v>
      </c>
      <c r="B22" s="22"/>
      <c r="C22" s="47">
        <v>1</v>
      </c>
      <c r="D22" s="24" t="s">
        <v>8</v>
      </c>
      <c r="E22" s="25" t="str">
        <f>REPT(E8,1)</f>
        <v>0</v>
      </c>
      <c r="F22" s="24" t="s">
        <v>15</v>
      </c>
      <c r="G22" s="92">
        <f>VLOOKUP(A22,Tabelle1!A58:C62,3,0)</f>
        <v>2.82</v>
      </c>
      <c r="H22" s="26">
        <f>G22-G22*E22/100</f>
        <v>2.82</v>
      </c>
      <c r="I22" s="27">
        <f>PRODUCT(C22,H22)</f>
        <v>2.82</v>
      </c>
      <c r="J22" s="44">
        <v>3</v>
      </c>
      <c r="K22" s="32" t="s">
        <v>13</v>
      </c>
      <c r="L22" s="65">
        <f>SUM(I22+(J22*L7))</f>
        <v>2.82</v>
      </c>
    </row>
    <row r="23" spans="1:17" s="4" customFormat="1" ht="27.75" customHeight="1" x14ac:dyDescent="0.2">
      <c r="A23" s="89" t="s">
        <v>102</v>
      </c>
      <c r="B23" s="22"/>
      <c r="C23" s="47">
        <v>1</v>
      </c>
      <c r="D23" s="46" t="s">
        <v>8</v>
      </c>
      <c r="E23" s="25" t="str">
        <f>REPT(E8,1)</f>
        <v>0</v>
      </c>
      <c r="F23" s="24" t="s">
        <v>15</v>
      </c>
      <c r="G23" s="93">
        <f>VLOOKUP(A23,Tabelle1!A51:D54,3,0)</f>
        <v>5.38</v>
      </c>
      <c r="H23" s="26">
        <f>G23-G23*E23/100</f>
        <v>5.38</v>
      </c>
      <c r="I23" s="27">
        <f>PRODUCT(C23,H23)</f>
        <v>5.38</v>
      </c>
      <c r="J23" s="44">
        <v>5</v>
      </c>
      <c r="K23" s="32" t="s">
        <v>13</v>
      </c>
      <c r="L23" s="67">
        <f>SUM(I23+(J23*L7))</f>
        <v>5.38</v>
      </c>
    </row>
    <row r="24" spans="1:17" s="4" customFormat="1" ht="24" customHeight="1" x14ac:dyDescent="0.2">
      <c r="A24" s="48" t="s">
        <v>20</v>
      </c>
      <c r="B24" s="136" t="s">
        <v>9</v>
      </c>
      <c r="C24" s="137"/>
      <c r="D24" s="137"/>
      <c r="E24" s="137"/>
      <c r="F24" s="137"/>
      <c r="G24" s="137"/>
      <c r="H24" s="137"/>
      <c r="I24" s="137"/>
      <c r="J24" s="137"/>
      <c r="K24" s="138"/>
      <c r="L24" s="68"/>
    </row>
    <row r="25" spans="1:17" s="4" customFormat="1" ht="27" customHeight="1" x14ac:dyDescent="0.2">
      <c r="A25" s="89" t="s">
        <v>41</v>
      </c>
      <c r="B25" s="91" t="s">
        <v>11</v>
      </c>
      <c r="C25" s="47">
        <v>4</v>
      </c>
      <c r="D25" s="24" t="s">
        <v>26</v>
      </c>
      <c r="E25" s="25" t="str">
        <f>REPT(E8,1)</f>
        <v>0</v>
      </c>
      <c r="F25" s="24" t="s">
        <v>15</v>
      </c>
      <c r="G25" s="94">
        <f>VLOOKUP(A25,Tabelle1!A40:C49,3,0)</f>
        <v>1.36</v>
      </c>
      <c r="H25" s="57">
        <f>G25-G25*E25/100</f>
        <v>1.36</v>
      </c>
      <c r="I25" s="90">
        <f>PRODUCT(C25,H25)</f>
        <v>5.44</v>
      </c>
      <c r="J25" s="147">
        <f>3*C25</f>
        <v>12</v>
      </c>
      <c r="K25" s="150" t="s">
        <v>12</v>
      </c>
      <c r="L25" s="67">
        <f>SUM(I25+(J25*L7))</f>
        <v>5.44</v>
      </c>
    </row>
    <row r="26" spans="1:17" s="4" customFormat="1" ht="27.75" customHeight="1" x14ac:dyDescent="0.2">
      <c r="A26" s="21" t="s">
        <v>64</v>
      </c>
      <c r="B26" s="91" t="s">
        <v>11</v>
      </c>
      <c r="C26" s="47">
        <v>4</v>
      </c>
      <c r="D26" s="24" t="s">
        <v>26</v>
      </c>
      <c r="E26" s="25" t="str">
        <f t="shared" ref="E26" si="1">REPT(E13,1)</f>
        <v>0</v>
      </c>
      <c r="F26" s="24" t="s">
        <v>15</v>
      </c>
      <c r="G26" s="92">
        <f>VLOOKUP(A26,Tabelle1!A65:C68,3,0)</f>
        <v>0.23</v>
      </c>
      <c r="H26" s="26">
        <f t="shared" ref="H26:H27" si="2">G26-G26*E26/100</f>
        <v>0.23</v>
      </c>
      <c r="I26" s="27">
        <f t="shared" ref="I26:I27" si="3">PRODUCT(C26,H26)</f>
        <v>0.92</v>
      </c>
      <c r="J26" s="148"/>
      <c r="K26" s="151"/>
      <c r="L26" s="65">
        <f>I26</f>
        <v>0.92</v>
      </c>
    </row>
    <row r="27" spans="1:17" s="4" customFormat="1" ht="27.75" customHeight="1" thickBot="1" x14ac:dyDescent="0.25">
      <c r="A27" s="89" t="s">
        <v>60</v>
      </c>
      <c r="B27" s="108" t="s">
        <v>11</v>
      </c>
      <c r="C27" s="109">
        <v>4</v>
      </c>
      <c r="D27" s="110" t="s">
        <v>26</v>
      </c>
      <c r="E27" s="111" t="str">
        <f>REPT(E14,1)</f>
        <v>0</v>
      </c>
      <c r="F27" s="110" t="s">
        <v>15</v>
      </c>
      <c r="G27" s="112">
        <f>VLOOKUP(A27,Tabelle1!A65:C68,3,0)</f>
        <v>1.66</v>
      </c>
      <c r="H27" s="113">
        <f t="shared" si="2"/>
        <v>1.66</v>
      </c>
      <c r="I27" s="114">
        <f t="shared" si="3"/>
        <v>6.64</v>
      </c>
      <c r="J27" s="149"/>
      <c r="K27" s="152"/>
      <c r="L27" s="115">
        <f t="shared" ref="L27" si="4">I27</f>
        <v>6.64</v>
      </c>
    </row>
    <row r="28" spans="1:17" s="4" customFormat="1" ht="27.75" customHeight="1" x14ac:dyDescent="0.2">
      <c r="A28" s="97"/>
      <c r="B28" s="98"/>
      <c r="C28" s="54"/>
      <c r="D28" s="51"/>
      <c r="E28" s="99"/>
      <c r="F28" s="51"/>
      <c r="G28" s="99"/>
      <c r="H28" s="100"/>
      <c r="I28" s="100"/>
      <c r="J28" s="101"/>
      <c r="K28" s="102"/>
      <c r="L28" s="103"/>
    </row>
    <row r="29" spans="1:17" s="4" customFormat="1" ht="12" x14ac:dyDescent="0.2">
      <c r="A29" s="12"/>
      <c r="B29" s="12"/>
      <c r="C29" s="6"/>
      <c r="D29" s="6"/>
      <c r="E29" s="6"/>
      <c r="F29" s="6"/>
      <c r="G29" s="6"/>
      <c r="H29" s="6"/>
      <c r="I29" s="6"/>
      <c r="J29" s="6"/>
      <c r="K29" s="6"/>
    </row>
    <row r="30" spans="1:17" s="8" customFormat="1" x14ac:dyDescent="0.2">
      <c r="A30" s="50" t="s">
        <v>18</v>
      </c>
      <c r="B30" s="178"/>
      <c r="C30" s="178"/>
      <c r="D30" s="51"/>
      <c r="E30" s="7"/>
      <c r="F30" s="7"/>
      <c r="G30" s="7"/>
      <c r="H30" s="7"/>
      <c r="I30" s="7"/>
      <c r="J30" s="7"/>
      <c r="K30" s="7"/>
    </row>
    <row r="31" spans="1:17" s="8" customFormat="1" ht="8.1" customHeight="1" x14ac:dyDescent="0.2">
      <c r="A31" s="50"/>
      <c r="B31" s="54"/>
      <c r="C31" s="54"/>
      <c r="D31" s="51"/>
      <c r="E31" s="7"/>
      <c r="F31" s="7"/>
      <c r="G31" s="7"/>
      <c r="H31" s="7"/>
      <c r="I31" s="7"/>
      <c r="J31" s="7"/>
      <c r="K31" s="7"/>
    </row>
    <row r="32" spans="1:17" s="8" customFormat="1" x14ac:dyDescent="0.2">
      <c r="A32" s="62" t="s">
        <v>22</v>
      </c>
      <c r="B32" s="120">
        <v>0</v>
      </c>
      <c r="C32" s="121"/>
      <c r="D32" s="131" t="s">
        <v>2</v>
      </c>
      <c r="E32" s="132"/>
      <c r="F32" s="170">
        <f>B32*I17</f>
        <v>0</v>
      </c>
      <c r="G32" s="171"/>
      <c r="H32" s="7"/>
      <c r="I32" s="7"/>
      <c r="J32" s="7"/>
      <c r="K32" s="7"/>
    </row>
    <row r="33" spans="1:11" s="8" customFormat="1" x14ac:dyDescent="0.2">
      <c r="A33" s="62" t="s">
        <v>23</v>
      </c>
      <c r="B33" s="120">
        <v>0</v>
      </c>
      <c r="C33" s="121"/>
      <c r="D33" s="131" t="s">
        <v>17</v>
      </c>
      <c r="E33" s="132"/>
      <c r="F33" s="170">
        <f>SUM(I23*B33)</f>
        <v>0</v>
      </c>
      <c r="G33" s="171"/>
      <c r="H33" s="7"/>
      <c r="I33" s="7"/>
      <c r="J33" s="7"/>
      <c r="K33" s="7"/>
    </row>
    <row r="34" spans="1:11" s="8" customFormat="1" x14ac:dyDescent="0.2">
      <c r="A34" s="62" t="s">
        <v>24</v>
      </c>
      <c r="B34" s="120">
        <v>0</v>
      </c>
      <c r="C34" s="121"/>
      <c r="D34" s="131" t="s">
        <v>17</v>
      </c>
      <c r="E34" s="132"/>
      <c r="F34" s="168">
        <f>B34*I21</f>
        <v>0</v>
      </c>
      <c r="G34" s="169"/>
      <c r="H34" s="7"/>
      <c r="I34" s="7"/>
      <c r="J34" s="7"/>
      <c r="K34" s="7"/>
    </row>
    <row r="35" spans="1:11" s="4" customFormat="1" x14ac:dyDescent="0.2">
      <c r="A35" s="61" t="s">
        <v>25</v>
      </c>
      <c r="B35" s="118">
        <v>0</v>
      </c>
      <c r="C35" s="119"/>
      <c r="D35" s="129" t="s">
        <v>17</v>
      </c>
      <c r="E35" s="130"/>
      <c r="F35" s="168">
        <f>B35*I20</f>
        <v>0</v>
      </c>
      <c r="G35" s="169"/>
      <c r="H35" s="6"/>
      <c r="I35" s="6"/>
      <c r="J35" s="6"/>
      <c r="K35" s="6"/>
    </row>
    <row r="36" spans="1:11" s="4" customFormat="1" x14ac:dyDescent="0.2">
      <c r="A36" s="61" t="s">
        <v>20</v>
      </c>
      <c r="B36" s="118">
        <v>0</v>
      </c>
      <c r="C36" s="119"/>
      <c r="D36" s="129" t="s">
        <v>2</v>
      </c>
      <c r="E36" s="130"/>
      <c r="F36" s="168">
        <f>SUM(I25*B36)</f>
        <v>0</v>
      </c>
      <c r="G36" s="169"/>
      <c r="H36" s="6"/>
      <c r="I36" s="6"/>
      <c r="J36" s="6"/>
      <c r="K36" s="6"/>
    </row>
    <row r="37" spans="1:11" s="4" customFormat="1" x14ac:dyDescent="0.2">
      <c r="A37" s="12"/>
      <c r="B37" s="12"/>
      <c r="C37" s="6"/>
      <c r="D37" s="6"/>
      <c r="E37" s="6"/>
      <c r="F37" s="176">
        <f>SUM(F32:G36)</f>
        <v>0</v>
      </c>
      <c r="G37" s="177"/>
      <c r="H37" s="6"/>
      <c r="I37" s="6"/>
      <c r="J37" s="6"/>
      <c r="K37" s="6"/>
    </row>
    <row r="38" spans="1:11" s="4" customFormat="1" x14ac:dyDescent="0.2">
      <c r="A38" s="12"/>
      <c r="B38" s="12"/>
      <c r="C38" s="6"/>
      <c r="D38" s="6"/>
      <c r="E38" s="6"/>
      <c r="F38" s="58"/>
      <c r="G38" s="58"/>
      <c r="H38" s="6"/>
      <c r="I38" s="6"/>
      <c r="J38" s="6"/>
      <c r="K38" s="6"/>
    </row>
    <row r="39" spans="1:11" s="4" customFormat="1" x14ac:dyDescent="0.2">
      <c r="A39" s="59" t="s">
        <v>32</v>
      </c>
      <c r="B39" s="12"/>
      <c r="C39" s="6"/>
      <c r="D39" s="6"/>
      <c r="E39" s="6"/>
      <c r="F39" s="58"/>
      <c r="G39" s="58"/>
      <c r="H39" s="6"/>
      <c r="I39" s="6"/>
      <c r="J39" s="6"/>
      <c r="K39" s="6"/>
    </row>
    <row r="40" spans="1:11" s="4" customFormat="1" ht="8.1" customHeight="1" x14ac:dyDescent="0.2">
      <c r="A40" s="36"/>
      <c r="B40" s="12"/>
      <c r="C40" s="6"/>
      <c r="D40" s="6"/>
      <c r="E40" s="6"/>
      <c r="F40" s="58"/>
      <c r="G40" s="58"/>
      <c r="H40" s="6"/>
      <c r="I40" s="6"/>
      <c r="J40" s="6"/>
      <c r="K40" s="6"/>
    </row>
    <row r="41" spans="1:11" s="4" customFormat="1" x14ac:dyDescent="0.2">
      <c r="A41" s="135" t="str">
        <f>A9</f>
        <v>HECK Coverrock X-2</v>
      </c>
      <c r="B41" s="117"/>
      <c r="C41" s="117"/>
      <c r="D41" s="117"/>
      <c r="E41" s="117"/>
      <c r="F41" s="172">
        <f>SUM(B32)</f>
        <v>0</v>
      </c>
      <c r="G41" s="172"/>
      <c r="H41" s="6"/>
      <c r="I41" s="6"/>
      <c r="J41" s="6"/>
      <c r="K41" s="6"/>
    </row>
    <row r="42" spans="1:11" s="4" customFormat="1" x14ac:dyDescent="0.2">
      <c r="A42" s="135" t="str">
        <f>A8</f>
        <v>HECK K+A A1</v>
      </c>
      <c r="B42" s="117"/>
      <c r="C42" s="117"/>
      <c r="D42" s="117"/>
      <c r="E42" s="117"/>
      <c r="F42" s="173">
        <f>ROUNDUP((((C10+C8)*B32)/25),0)</f>
        <v>0</v>
      </c>
      <c r="G42" s="173"/>
      <c r="H42" s="6"/>
      <c r="I42" s="6"/>
      <c r="J42" s="6"/>
      <c r="K42" s="6"/>
    </row>
    <row r="43" spans="1:11" s="4" customFormat="1" x14ac:dyDescent="0.2">
      <c r="A43" s="124" t="s">
        <v>65</v>
      </c>
      <c r="B43" s="117"/>
      <c r="C43" s="117"/>
      <c r="D43" s="117"/>
      <c r="E43" s="117"/>
      <c r="F43" s="174">
        <f>ROUNDUP(((C11*B32)/55),0)</f>
        <v>0</v>
      </c>
      <c r="G43" s="174"/>
      <c r="H43" s="6"/>
      <c r="I43" s="6"/>
      <c r="J43" s="6"/>
      <c r="K43" s="6"/>
    </row>
    <row r="44" spans="1:11" s="4" customFormat="1" x14ac:dyDescent="0.2">
      <c r="A44" s="124" t="str">
        <f>A13</f>
        <v>HECK UG (Universalgrundierung) weiß</v>
      </c>
      <c r="B44" s="117"/>
      <c r="C44" s="117"/>
      <c r="D44" s="117"/>
      <c r="E44" s="117"/>
      <c r="F44" s="175">
        <f>ROUNDUP(((C13*B32)/15),0)</f>
        <v>0</v>
      </c>
      <c r="G44" s="175"/>
      <c r="H44" s="6"/>
      <c r="I44" s="6"/>
      <c r="J44" s="6"/>
      <c r="K44" s="6"/>
    </row>
    <row r="45" spans="1:11" s="4" customFormat="1" x14ac:dyDescent="0.2">
      <c r="A45" s="124" t="str">
        <f>A14</f>
        <v>HECK EP WD (Edelputz WD) Kratzputz Jura weiß</v>
      </c>
      <c r="B45" s="117"/>
      <c r="C45" s="117"/>
      <c r="D45" s="117"/>
      <c r="E45" s="117"/>
      <c r="F45" s="133">
        <f>VLOOKUP(A45,Tabelle1!A:D,4,0)</f>
        <v>0</v>
      </c>
      <c r="G45" s="134"/>
      <c r="H45" s="6"/>
      <c r="I45" s="6"/>
      <c r="J45" s="6"/>
      <c r="K45" s="6"/>
    </row>
    <row r="46" spans="1:11" s="4" customFormat="1" x14ac:dyDescent="0.2">
      <c r="A46" s="124" t="str">
        <f>A16</f>
        <v>HECK SIF (Silikat-Fassadenfarbe) weiß</v>
      </c>
      <c r="B46" s="117"/>
      <c r="C46" s="117"/>
      <c r="D46" s="117"/>
      <c r="E46" s="117"/>
      <c r="F46" s="125">
        <f>VLOOKUP(A46,Tabelle1!A:D,4,0)</f>
        <v>0</v>
      </c>
      <c r="G46" s="126"/>
      <c r="H46" s="6"/>
      <c r="I46" s="6"/>
      <c r="J46" s="6"/>
      <c r="K46" s="6"/>
    </row>
    <row r="47" spans="1:11" s="4" customFormat="1" x14ac:dyDescent="0.2">
      <c r="A47" s="124" t="s">
        <v>33</v>
      </c>
      <c r="B47" s="117"/>
      <c r="C47" s="117"/>
      <c r="D47" s="117"/>
      <c r="E47" s="117"/>
      <c r="F47" s="122">
        <f>ROUNDUP(((C20*B35)/2.5),0)</f>
        <v>0</v>
      </c>
      <c r="G47" s="123"/>
      <c r="H47" s="6"/>
      <c r="I47" s="6"/>
      <c r="J47" s="6"/>
      <c r="K47" s="6"/>
    </row>
    <row r="48" spans="1:11" s="4" customFormat="1" x14ac:dyDescent="0.2">
      <c r="A48" s="124" t="s">
        <v>34</v>
      </c>
      <c r="B48" s="117"/>
      <c r="C48" s="117"/>
      <c r="D48" s="117"/>
      <c r="E48" s="117"/>
      <c r="F48" s="122">
        <f>ROUNDUP(((C21*B34)/2.5),0)</f>
        <v>0</v>
      </c>
      <c r="G48" s="123"/>
      <c r="H48" s="6"/>
      <c r="I48" s="6"/>
      <c r="J48" s="6"/>
      <c r="K48" s="6"/>
    </row>
    <row r="49" spans="1:11" s="4" customFormat="1" x14ac:dyDescent="0.2">
      <c r="A49" s="116" t="s">
        <v>37</v>
      </c>
      <c r="B49" s="117"/>
      <c r="C49" s="117"/>
      <c r="D49" s="117"/>
      <c r="E49" s="117"/>
      <c r="F49" s="127">
        <f>ROUNDUP(((C22*B35)/18),0)</f>
        <v>0</v>
      </c>
      <c r="G49" s="128"/>
      <c r="H49" s="6"/>
      <c r="I49" s="6"/>
      <c r="J49" s="6"/>
      <c r="K49" s="6"/>
    </row>
    <row r="50" spans="1:11" s="4" customFormat="1" x14ac:dyDescent="0.2">
      <c r="A50" s="116" t="s">
        <v>36</v>
      </c>
      <c r="B50" s="117"/>
      <c r="C50" s="117"/>
      <c r="D50" s="117"/>
      <c r="E50" s="117"/>
      <c r="F50" s="122">
        <f>ROUNDUP(((C23*B33)/2.4),0)</f>
        <v>0</v>
      </c>
      <c r="G50" s="123"/>
      <c r="H50" s="6"/>
      <c r="I50" s="6"/>
      <c r="J50" s="6"/>
      <c r="K50" s="6"/>
    </row>
    <row r="51" spans="1:11" s="4" customFormat="1" x14ac:dyDescent="0.2">
      <c r="A51" s="116" t="str">
        <f>A25</f>
        <v>HECK Schraubdübel STR-U 2G     155 mm</v>
      </c>
      <c r="B51" s="117"/>
      <c r="C51" s="117"/>
      <c r="D51" s="117"/>
      <c r="E51" s="117"/>
      <c r="F51" s="122">
        <f>ROUNDUP((C25*B36),0)</f>
        <v>0</v>
      </c>
      <c r="G51" s="123"/>
      <c r="H51" s="6"/>
      <c r="I51" s="6"/>
      <c r="J51" s="6"/>
      <c r="K51" s="6"/>
    </row>
    <row r="52" spans="1:11" s="4" customFormat="1" x14ac:dyDescent="0.2">
      <c r="A52" s="116" t="str">
        <f>A26</f>
        <v>HECK STR-Verschlusselement Steinwolle</v>
      </c>
      <c r="B52" s="117"/>
      <c r="C52" s="117"/>
      <c r="D52" s="117"/>
      <c r="E52" s="117"/>
      <c r="F52" s="122">
        <f>VLOOKUP(A52,Tabelle1!A65:D68,4,0)</f>
        <v>0</v>
      </c>
      <c r="G52" s="123"/>
      <c r="H52" s="6"/>
      <c r="I52" s="6"/>
      <c r="J52" s="6"/>
      <c r="K52" s="6"/>
    </row>
    <row r="53" spans="1:11" s="4" customFormat="1" x14ac:dyDescent="0.2">
      <c r="A53" s="116" t="str">
        <f>A27</f>
        <v>HECK Dübelteller VT2G + HECK STR-Rondelle MW</v>
      </c>
      <c r="B53" s="117"/>
      <c r="C53" s="117"/>
      <c r="D53" s="117"/>
      <c r="E53" s="117"/>
      <c r="F53" s="122">
        <f>VLOOKUP(A53,Tabelle1!A67:D70,4,0)</f>
        <v>0</v>
      </c>
      <c r="G53" s="123"/>
      <c r="H53" s="6"/>
      <c r="I53" s="6"/>
      <c r="J53" s="6"/>
      <c r="K53" s="6"/>
    </row>
    <row r="54" spans="1:11" s="4" customFormat="1" x14ac:dyDescent="0.2">
      <c r="A54" s="51"/>
      <c r="B54"/>
      <c r="C54"/>
      <c r="D54"/>
      <c r="E54"/>
      <c r="F54" s="60"/>
      <c r="G54" s="60"/>
      <c r="H54" s="6"/>
      <c r="I54" s="6"/>
      <c r="J54" s="6"/>
      <c r="K54" s="6"/>
    </row>
    <row r="55" spans="1:11" x14ac:dyDescent="0.2">
      <c r="A55" s="15"/>
    </row>
    <row r="56" spans="1:11" s="70" customFormat="1" ht="11.25" x14ac:dyDescent="0.2">
      <c r="A56" s="12" t="s">
        <v>99</v>
      </c>
      <c r="B56" s="69"/>
    </row>
    <row r="57" spans="1:11" s="70" customFormat="1" ht="11.25" x14ac:dyDescent="0.2">
      <c r="A57" s="12" t="s">
        <v>101</v>
      </c>
      <c r="B57" s="69"/>
    </row>
    <row r="58" spans="1:11" s="70" customFormat="1" ht="11.25" x14ac:dyDescent="0.2">
      <c r="A58" s="12" t="s">
        <v>100</v>
      </c>
      <c r="B58" s="69"/>
    </row>
    <row r="59" spans="1:11" s="70" customFormat="1" ht="11.25" x14ac:dyDescent="0.2">
      <c r="A59" s="69" t="s">
        <v>27</v>
      </c>
      <c r="B59" s="69"/>
    </row>
    <row r="60" spans="1:11" s="70" customFormat="1" ht="11.25" x14ac:dyDescent="0.2">
      <c r="A60" s="70" t="s">
        <v>28</v>
      </c>
      <c r="B60" s="69"/>
    </row>
    <row r="61" spans="1:11" s="70" customFormat="1" ht="11.25" x14ac:dyDescent="0.2">
      <c r="A61" s="69" t="s">
        <v>29</v>
      </c>
      <c r="B61" s="69"/>
    </row>
    <row r="62" spans="1:11" s="70" customFormat="1" ht="11.25" x14ac:dyDescent="0.2">
      <c r="A62" s="69" t="s">
        <v>30</v>
      </c>
      <c r="B62" s="69"/>
    </row>
    <row r="63" spans="1:11" s="70" customFormat="1" ht="11.25" x14ac:dyDescent="0.2">
      <c r="A63" s="69" t="s">
        <v>31</v>
      </c>
      <c r="B63" s="69"/>
    </row>
    <row r="64" spans="1:11" x14ac:dyDescent="0.2">
      <c r="B64" s="14"/>
    </row>
    <row r="65" spans="2:2" x14ac:dyDescent="0.2">
      <c r="B65" s="15"/>
    </row>
    <row r="66" spans="2:2" x14ac:dyDescent="0.2">
      <c r="B66" s="16"/>
    </row>
  </sheetData>
  <mergeCells count="59">
    <mergeCell ref="A53:E53"/>
    <mergeCell ref="F53:G53"/>
    <mergeCell ref="J10:J11"/>
    <mergeCell ref="F35:G35"/>
    <mergeCell ref="F32:G32"/>
    <mergeCell ref="F33:G33"/>
    <mergeCell ref="F47:G47"/>
    <mergeCell ref="F41:G41"/>
    <mergeCell ref="F42:G42"/>
    <mergeCell ref="F43:G43"/>
    <mergeCell ref="F44:G44"/>
    <mergeCell ref="F34:G34"/>
    <mergeCell ref="F36:G36"/>
    <mergeCell ref="F37:G37"/>
    <mergeCell ref="B30:C30"/>
    <mergeCell ref="B32:C32"/>
    <mergeCell ref="J4:K4"/>
    <mergeCell ref="A6:A7"/>
    <mergeCell ref="K8:K9"/>
    <mergeCell ref="J6:K6"/>
    <mergeCell ref="B6:D6"/>
    <mergeCell ref="B7:D7"/>
    <mergeCell ref="E6:F7"/>
    <mergeCell ref="B33:C33"/>
    <mergeCell ref="B24:K24"/>
    <mergeCell ref="H6:I6"/>
    <mergeCell ref="G6:G7"/>
    <mergeCell ref="J8:J9"/>
    <mergeCell ref="J7:K7"/>
    <mergeCell ref="J25:J27"/>
    <mergeCell ref="K25:K27"/>
    <mergeCell ref="K10:K11"/>
    <mergeCell ref="A45:E45"/>
    <mergeCell ref="F45:G45"/>
    <mergeCell ref="A41:E41"/>
    <mergeCell ref="A42:E42"/>
    <mergeCell ref="A43:E43"/>
    <mergeCell ref="A44:E44"/>
    <mergeCell ref="D36:E36"/>
    <mergeCell ref="D32:E32"/>
    <mergeCell ref="D33:E33"/>
    <mergeCell ref="D34:E34"/>
    <mergeCell ref="D35:E35"/>
    <mergeCell ref="A52:E52"/>
    <mergeCell ref="B36:C36"/>
    <mergeCell ref="B35:C35"/>
    <mergeCell ref="B34:C34"/>
    <mergeCell ref="F52:G52"/>
    <mergeCell ref="A46:E46"/>
    <mergeCell ref="F46:G46"/>
    <mergeCell ref="A47:E47"/>
    <mergeCell ref="A50:E50"/>
    <mergeCell ref="F50:G50"/>
    <mergeCell ref="A51:E51"/>
    <mergeCell ref="F51:G51"/>
    <mergeCell ref="A48:E48"/>
    <mergeCell ref="F48:G48"/>
    <mergeCell ref="A49:E49"/>
    <mergeCell ref="F49:G49"/>
  </mergeCells>
  <phoneticPr fontId="0" type="noConversion"/>
  <printOptions gridLinesSet="0"/>
  <pageMargins left="0.39370078740157483" right="0.78740157480314965" top="1.3779527559055118" bottom="0.70866141732283472" header="0.59055118110236227" footer="0.51181102362204722"/>
  <pageSetup paperSize="9" scale="90" orientation="portrait" horizontalDpi="4294967292" verticalDpi="360" r:id="rId1"/>
  <headerFooter alignWithMargins="0">
    <oddHeader>&amp;L&amp;"Arial,Fett"&amp;14HECK MW A1&amp;R&amp;G</oddHeader>
  </headerFooter>
  <customProperties>
    <customPr name="_pios_id" r:id="rId2"/>
  </customProperties>
  <ignoredErrors>
    <ignoredError sqref="I12:I15" formula="1"/>
    <ignoredError sqref="H20:I20 G35:G38 F38 F45:F46 K20:L20" evalError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Tabelle1!$A$5:$A$6</xm:f>
          </x14:formula1>
          <xm:sqref>A13</xm:sqref>
        </x14:dataValidation>
        <x14:dataValidation type="list" allowBlank="1" showInputMessage="1" showErrorMessage="1" xr:uid="{00000000-0002-0000-0000-000001000000}">
          <x14:formula1>
            <xm:f>Tabelle1!$A$40:$A$49</xm:f>
          </x14:formula1>
          <xm:sqref>A25</xm:sqref>
        </x14:dataValidation>
        <x14:dataValidation type="list" allowBlank="1" showInputMessage="1" showErrorMessage="1" xr:uid="{00000000-0002-0000-0000-000003000000}">
          <x14:formula1>
            <xm:f>Tabelle1!$A$8:$A$33</xm:f>
          </x14:formula1>
          <xm:sqref>A14</xm:sqref>
        </x14:dataValidation>
        <x14:dataValidation type="list" allowBlank="1" showInputMessage="1" showErrorMessage="1" xr:uid="{00000000-0002-0000-0000-000004000000}">
          <x14:formula1>
            <xm:f>Tabelle1!$A$35:$A$38</xm:f>
          </x14:formula1>
          <xm:sqref>A16</xm:sqref>
        </x14:dataValidation>
        <x14:dataValidation type="list" allowBlank="1" showInputMessage="1" showErrorMessage="1" xr:uid="{3B9A8F87-E2EC-4808-B050-0501CDE79491}">
          <x14:formula1>
            <xm:f>Tabelle1!$A$58:$A$62</xm:f>
          </x14:formula1>
          <xm:sqref>A22</xm:sqref>
        </x14:dataValidation>
        <x14:dataValidation type="list" allowBlank="1" showInputMessage="1" showErrorMessage="1" xr:uid="{00000000-0002-0000-0000-000002000000}">
          <x14:formula1>
            <xm:f>Tabelle1!$A$1:$A$3</xm:f>
          </x14:formula1>
          <xm:sqref>A9</xm:sqref>
        </x14:dataValidation>
        <x14:dataValidation type="list" allowBlank="1" showInputMessage="1" showErrorMessage="1" xr:uid="{699D4F4F-55C2-4673-B40A-F60D0603BE84}">
          <x14:formula1>
            <xm:f>Tabelle1!$A$67:$A$68</xm:f>
          </x14:formula1>
          <xm:sqref>A27</xm:sqref>
        </x14:dataValidation>
        <x14:dataValidation type="list" allowBlank="1" showInputMessage="1" showErrorMessage="1" xr:uid="{AE1DBC63-98BC-498E-A5ED-82C76A4009EE}">
          <x14:formula1>
            <xm:f>Tabelle1!$A$51:$A$54</xm:f>
          </x14:formula1>
          <xm:sqref>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"/>
  <sheetViews>
    <sheetView workbookViewId="0">
      <selection activeCell="C66" sqref="C66:C68"/>
    </sheetView>
  </sheetViews>
  <sheetFormatPr baseColWidth="10" defaultRowHeight="12.75" x14ac:dyDescent="0.2"/>
  <cols>
    <col min="1" max="1" width="58" bestFit="1" customWidth="1"/>
  </cols>
  <sheetData>
    <row r="1" spans="1:5" x14ac:dyDescent="0.2">
      <c r="A1" s="71" t="s">
        <v>50</v>
      </c>
      <c r="C1" s="72">
        <f>'A1'!H$6*0.3647</f>
        <v>36.47</v>
      </c>
      <c r="E1">
        <v>25</v>
      </c>
    </row>
    <row r="2" spans="1:5" x14ac:dyDescent="0.2">
      <c r="A2" s="71" t="s">
        <v>38</v>
      </c>
      <c r="C2">
        <f>'A1'!H$6*0.51</f>
        <v>51</v>
      </c>
      <c r="E2">
        <v>25</v>
      </c>
    </row>
    <row r="3" spans="1:5" x14ac:dyDescent="0.2">
      <c r="A3" s="71" t="s">
        <v>98</v>
      </c>
      <c r="C3" s="72">
        <f>'A1'!H$6*0.49361</f>
        <v>49.36</v>
      </c>
      <c r="E3">
        <v>25</v>
      </c>
    </row>
    <row r="5" spans="1:5" x14ac:dyDescent="0.2">
      <c r="A5" s="71" t="s">
        <v>66</v>
      </c>
      <c r="C5">
        <v>7.37</v>
      </c>
    </row>
    <row r="6" spans="1:5" x14ac:dyDescent="0.2">
      <c r="A6" s="71" t="s">
        <v>67</v>
      </c>
      <c r="C6">
        <v>8.84</v>
      </c>
    </row>
    <row r="8" spans="1:5" x14ac:dyDescent="0.2">
      <c r="A8" s="71" t="s">
        <v>68</v>
      </c>
      <c r="B8" s="72">
        <v>3</v>
      </c>
      <c r="C8">
        <v>1.65</v>
      </c>
      <c r="D8" s="73">
        <f>ROUNDUP((($B8*'A1'!B$32)/25),0)</f>
        <v>0</v>
      </c>
      <c r="E8">
        <v>13</v>
      </c>
    </row>
    <row r="9" spans="1:5" x14ac:dyDescent="0.2">
      <c r="A9" s="71" t="s">
        <v>69</v>
      </c>
      <c r="B9" s="72">
        <v>3</v>
      </c>
      <c r="C9">
        <v>1.98</v>
      </c>
      <c r="D9" s="73">
        <f>ROUNDUP((($B9*'A1'!B$32)/25),0)</f>
        <v>0</v>
      </c>
      <c r="E9">
        <v>13</v>
      </c>
    </row>
    <row r="10" spans="1:5" x14ac:dyDescent="0.2">
      <c r="A10" s="71" t="s">
        <v>70</v>
      </c>
      <c r="B10" s="72">
        <v>3.6</v>
      </c>
      <c r="C10">
        <v>1.65</v>
      </c>
      <c r="D10" s="73">
        <f>ROUNDUP((($B10*'A1'!B$32)/25),0)</f>
        <v>0</v>
      </c>
      <c r="E10">
        <v>13</v>
      </c>
    </row>
    <row r="11" spans="1:5" x14ac:dyDescent="0.2">
      <c r="A11" s="71" t="s">
        <v>71</v>
      </c>
      <c r="B11" s="72">
        <v>3.6</v>
      </c>
      <c r="C11">
        <v>1.98</v>
      </c>
      <c r="D11" s="73">
        <f>ROUNDUP((($B11*'A1'!B$32)/25),0)</f>
        <v>0</v>
      </c>
      <c r="E11">
        <v>13</v>
      </c>
    </row>
    <row r="12" spans="1:5" x14ac:dyDescent="0.2">
      <c r="A12" s="71" t="s">
        <v>72</v>
      </c>
      <c r="B12" s="72">
        <v>4.5</v>
      </c>
      <c r="C12">
        <v>1.65</v>
      </c>
      <c r="D12" s="73">
        <f>ROUNDUP((($B12*'A1'!B$32)/25),0)</f>
        <v>0</v>
      </c>
      <c r="E12">
        <v>13</v>
      </c>
    </row>
    <row r="13" spans="1:5" x14ac:dyDescent="0.2">
      <c r="A13" s="71" t="s">
        <v>73</v>
      </c>
      <c r="B13" s="72">
        <v>4.5</v>
      </c>
      <c r="C13">
        <v>1.98</v>
      </c>
      <c r="D13" s="73">
        <f>ROUNDUP((($B13*'A1'!B$32)/25),0)</f>
        <v>0</v>
      </c>
      <c r="E13">
        <v>13</v>
      </c>
    </row>
    <row r="14" spans="1:5" x14ac:dyDescent="0.2">
      <c r="A14" s="71" t="s">
        <v>74</v>
      </c>
      <c r="B14" s="72">
        <v>3</v>
      </c>
      <c r="C14">
        <v>1.65</v>
      </c>
      <c r="D14" s="73">
        <f>ROUNDUP((($B14*'A1'!B$32)/25),0)</f>
        <v>0</v>
      </c>
      <c r="E14">
        <v>13</v>
      </c>
    </row>
    <row r="15" spans="1:5" x14ac:dyDescent="0.2">
      <c r="A15" s="71" t="s">
        <v>75</v>
      </c>
      <c r="B15" s="72">
        <v>3</v>
      </c>
      <c r="C15">
        <v>1.98</v>
      </c>
      <c r="D15" s="73">
        <f>ROUNDUP((($B15*'A1'!B$32)/25),0)</f>
        <v>0</v>
      </c>
      <c r="E15">
        <v>13</v>
      </c>
    </row>
    <row r="16" spans="1:5" x14ac:dyDescent="0.2">
      <c r="A16" s="71" t="s">
        <v>76</v>
      </c>
      <c r="B16" s="72">
        <v>2.2999999999999998</v>
      </c>
      <c r="C16">
        <v>2.35</v>
      </c>
      <c r="D16" s="73">
        <f>ROUNDUP((($B16*'A1'!B$32)/25),0)</f>
        <v>0</v>
      </c>
      <c r="E16">
        <v>12</v>
      </c>
    </row>
    <row r="17" spans="1:5" x14ac:dyDescent="0.2">
      <c r="A17" s="71" t="s">
        <v>77</v>
      </c>
      <c r="B17" s="72">
        <v>2.2999999999999998</v>
      </c>
      <c r="C17">
        <v>2.82</v>
      </c>
      <c r="D17" s="73">
        <f>ROUNDUP((($B17*'A1'!B$32)/25),0)</f>
        <v>0</v>
      </c>
      <c r="E17">
        <v>12</v>
      </c>
    </row>
    <row r="18" spans="1:5" x14ac:dyDescent="0.2">
      <c r="A18" s="71" t="s">
        <v>78</v>
      </c>
      <c r="B18" s="72">
        <v>2.2999999999999998</v>
      </c>
      <c r="C18">
        <v>2.35</v>
      </c>
      <c r="D18" s="73">
        <f>ROUNDUP((($B18*'A1'!B$32)/25),0)</f>
        <v>0</v>
      </c>
      <c r="E18">
        <v>13</v>
      </c>
    </row>
    <row r="19" spans="1:5" x14ac:dyDescent="0.2">
      <c r="A19" s="71" t="s">
        <v>79</v>
      </c>
      <c r="B19" s="72">
        <v>2.2999999999999998</v>
      </c>
      <c r="C19">
        <v>2.82</v>
      </c>
      <c r="D19" s="73">
        <f>ROUNDUP((($B19*'A1'!B$32)/25),0)</f>
        <v>0</v>
      </c>
      <c r="E19">
        <v>13</v>
      </c>
    </row>
    <row r="20" spans="1:5" x14ac:dyDescent="0.2">
      <c r="A20" s="71" t="s">
        <v>80</v>
      </c>
      <c r="B20" s="72">
        <v>2.9</v>
      </c>
      <c r="C20">
        <v>2.35</v>
      </c>
      <c r="D20" s="73">
        <f>ROUNDUP((($B20*'A1'!B$32)/25),0)</f>
        <v>0</v>
      </c>
      <c r="E20">
        <v>13</v>
      </c>
    </row>
    <row r="21" spans="1:5" x14ac:dyDescent="0.2">
      <c r="A21" s="71" t="s">
        <v>81</v>
      </c>
      <c r="B21" s="72">
        <v>2.9</v>
      </c>
      <c r="C21">
        <v>2.82</v>
      </c>
      <c r="D21" s="73">
        <f>ROUNDUP((($B21*'A1'!B$32)/25),0)</f>
        <v>0</v>
      </c>
      <c r="E21">
        <v>13</v>
      </c>
    </row>
    <row r="22" spans="1:5" x14ac:dyDescent="0.2">
      <c r="A22" s="71" t="s">
        <v>82</v>
      </c>
      <c r="B22" s="72">
        <v>4.2</v>
      </c>
      <c r="C22">
        <v>2.35</v>
      </c>
      <c r="D22" s="73">
        <f>ROUNDUP((($B22*'A1'!B$32)/25),0)</f>
        <v>0</v>
      </c>
      <c r="E22">
        <v>13</v>
      </c>
    </row>
    <row r="23" spans="1:5" x14ac:dyDescent="0.2">
      <c r="A23" s="71" t="s">
        <v>83</v>
      </c>
      <c r="B23" s="72">
        <v>4.2</v>
      </c>
      <c r="C23">
        <v>2.82</v>
      </c>
      <c r="D23" s="73">
        <f>ROUNDUP((($B23*'A1'!B$32)/25),0)</f>
        <v>0</v>
      </c>
      <c r="E23">
        <v>13</v>
      </c>
    </row>
    <row r="24" spans="1:5" x14ac:dyDescent="0.2">
      <c r="A24" s="71" t="s">
        <v>84</v>
      </c>
      <c r="B24" s="72">
        <v>2.4</v>
      </c>
      <c r="C24">
        <v>2.35</v>
      </c>
      <c r="D24" s="73">
        <f>ROUNDUP((($B24*'A1'!B$32)/25),0)</f>
        <v>0</v>
      </c>
      <c r="E24">
        <v>13</v>
      </c>
    </row>
    <row r="25" spans="1:5" x14ac:dyDescent="0.2">
      <c r="A25" s="71" t="s">
        <v>85</v>
      </c>
      <c r="B25" s="72">
        <v>2.4</v>
      </c>
      <c r="C25">
        <v>2.82</v>
      </c>
      <c r="D25" s="73">
        <f>ROUNDUP((($B25*'A1'!B$32)/25),0)</f>
        <v>0</v>
      </c>
      <c r="E25">
        <v>13</v>
      </c>
    </row>
    <row r="26" spans="1:5" x14ac:dyDescent="0.2">
      <c r="A26" s="71" t="s">
        <v>86</v>
      </c>
      <c r="B26" s="72">
        <v>3.5</v>
      </c>
      <c r="C26">
        <v>2.35</v>
      </c>
      <c r="D26" s="73">
        <f>ROUNDUP((($B26*'A1'!B$32)/25),0)</f>
        <v>0</v>
      </c>
      <c r="E26">
        <v>13</v>
      </c>
    </row>
    <row r="27" spans="1:5" x14ac:dyDescent="0.2">
      <c r="A27" s="71" t="s">
        <v>87</v>
      </c>
      <c r="B27" s="72">
        <v>3.5</v>
      </c>
      <c r="C27">
        <v>2.82</v>
      </c>
      <c r="D27" s="73">
        <f>ROUNDUP((($B27*'A1'!B$32)/25),0)</f>
        <v>0</v>
      </c>
      <c r="E27">
        <v>13</v>
      </c>
    </row>
    <row r="28" spans="1:5" x14ac:dyDescent="0.2">
      <c r="A28" s="71" t="s">
        <v>88</v>
      </c>
      <c r="B28" s="72">
        <v>5.6</v>
      </c>
      <c r="C28">
        <v>2.81</v>
      </c>
      <c r="D28" s="73">
        <f>ROUNDUP((($B28*'A1'!B$32)/25),0)</f>
        <v>0</v>
      </c>
      <c r="E28">
        <v>13</v>
      </c>
    </row>
    <row r="29" spans="1:5" x14ac:dyDescent="0.2">
      <c r="A29" s="71" t="s">
        <v>89</v>
      </c>
      <c r="B29" s="72">
        <v>5.6</v>
      </c>
      <c r="C29">
        <v>3.38</v>
      </c>
      <c r="D29" s="73">
        <f>ROUNDUP((($B29*'A1'!B$32)/25),0)</f>
        <v>0</v>
      </c>
      <c r="E29">
        <v>13</v>
      </c>
    </row>
    <row r="30" spans="1:5" x14ac:dyDescent="0.2">
      <c r="A30" s="71" t="s">
        <v>90</v>
      </c>
      <c r="B30" s="72">
        <v>5.6</v>
      </c>
      <c r="C30">
        <v>2.81</v>
      </c>
      <c r="D30" s="73">
        <f>ROUNDUP((($B30*'A1'!B$32)/25),0)</f>
        <v>0</v>
      </c>
      <c r="E30">
        <v>13</v>
      </c>
    </row>
    <row r="31" spans="1:5" x14ac:dyDescent="0.2">
      <c r="A31" s="71" t="s">
        <v>91</v>
      </c>
      <c r="B31" s="72">
        <v>5.6</v>
      </c>
      <c r="C31">
        <v>3.38</v>
      </c>
      <c r="D31" s="73">
        <f>ROUNDUP((($B31*'A1'!B$32)/25),0)</f>
        <v>0</v>
      </c>
      <c r="E31">
        <v>13</v>
      </c>
    </row>
    <row r="32" spans="1:5" x14ac:dyDescent="0.2">
      <c r="A32" t="s">
        <v>92</v>
      </c>
      <c r="B32" s="72">
        <v>18</v>
      </c>
      <c r="C32">
        <v>2.2200000000000002</v>
      </c>
      <c r="D32" s="73">
        <f>ROUNDUP((($B32*'A1'!B$32)/25),0)</f>
        <v>0</v>
      </c>
      <c r="E32">
        <v>27</v>
      </c>
    </row>
    <row r="33" spans="1:5" x14ac:dyDescent="0.2">
      <c r="A33" t="s">
        <v>93</v>
      </c>
      <c r="B33" s="72">
        <v>18</v>
      </c>
      <c r="C33">
        <v>2.66</v>
      </c>
      <c r="D33" s="73">
        <f>ROUNDUP((($B33*'A1'!B$32)/25),0)</f>
        <v>0</v>
      </c>
      <c r="E33">
        <v>27</v>
      </c>
    </row>
    <row r="35" spans="1:5" x14ac:dyDescent="0.2">
      <c r="A35" s="71" t="s">
        <v>94</v>
      </c>
      <c r="B35" s="72"/>
      <c r="C35">
        <v>14.65</v>
      </c>
      <c r="D35" s="73">
        <f>ROUNDUP(((0.2*'A1'!B$32)/15),0)</f>
        <v>0</v>
      </c>
    </row>
    <row r="36" spans="1:5" x14ac:dyDescent="0.2">
      <c r="A36" s="71" t="s">
        <v>95</v>
      </c>
      <c r="B36" s="72"/>
      <c r="C36">
        <v>17.55</v>
      </c>
      <c r="D36" s="73">
        <f>ROUNDUP(((0.2*'A1'!B$32)/15),0)</f>
        <v>0</v>
      </c>
    </row>
    <row r="37" spans="1:5" x14ac:dyDescent="0.2">
      <c r="A37" s="71" t="s">
        <v>96</v>
      </c>
      <c r="B37" s="72"/>
      <c r="C37">
        <v>22.56</v>
      </c>
      <c r="D37" s="73">
        <f>ROUNDUP(((0.2*'A1'!B$32)/12.5),0)</f>
        <v>0</v>
      </c>
    </row>
    <row r="38" spans="1:5" x14ac:dyDescent="0.2">
      <c r="A38" s="71" t="s">
        <v>97</v>
      </c>
      <c r="B38" s="72"/>
      <c r="C38">
        <v>27.08</v>
      </c>
      <c r="D38" s="73">
        <f>ROUNDUP(((0.2*'A1'!B$32)/12.5),0)</f>
        <v>0</v>
      </c>
    </row>
    <row r="40" spans="1:5" x14ac:dyDescent="0.2">
      <c r="A40" s="71" t="s">
        <v>39</v>
      </c>
      <c r="C40" s="96">
        <v>0.9</v>
      </c>
    </row>
    <row r="41" spans="1:5" x14ac:dyDescent="0.2">
      <c r="A41" s="71" t="s">
        <v>40</v>
      </c>
      <c r="C41" s="96">
        <v>1.06</v>
      </c>
    </row>
    <row r="42" spans="1:5" x14ac:dyDescent="0.2">
      <c r="A42" s="71" t="s">
        <v>41</v>
      </c>
      <c r="C42" s="96">
        <v>1.36</v>
      </c>
    </row>
    <row r="43" spans="1:5" x14ac:dyDescent="0.2">
      <c r="A43" s="71" t="s">
        <v>42</v>
      </c>
      <c r="C43" s="96">
        <v>1.6</v>
      </c>
    </row>
    <row r="44" spans="1:5" x14ac:dyDescent="0.2">
      <c r="A44" s="71" t="s">
        <v>43</v>
      </c>
      <c r="C44" s="96">
        <v>1.89</v>
      </c>
    </row>
    <row r="45" spans="1:5" x14ac:dyDescent="0.2">
      <c r="A45" s="71" t="s">
        <v>44</v>
      </c>
      <c r="C45" s="96">
        <v>2.3199999999999998</v>
      </c>
    </row>
    <row r="46" spans="1:5" x14ac:dyDescent="0.2">
      <c r="A46" s="71" t="s">
        <v>45</v>
      </c>
      <c r="C46" s="96">
        <v>2.76</v>
      </c>
    </row>
    <row r="47" spans="1:5" x14ac:dyDescent="0.2">
      <c r="A47" s="71" t="s">
        <v>46</v>
      </c>
      <c r="C47" s="96">
        <v>3.01</v>
      </c>
    </row>
    <row r="48" spans="1:5" x14ac:dyDescent="0.2">
      <c r="A48" s="71" t="s">
        <v>47</v>
      </c>
      <c r="C48" s="96">
        <v>3.44</v>
      </c>
    </row>
    <row r="49" spans="1:5" x14ac:dyDescent="0.2">
      <c r="A49" s="71" t="s">
        <v>48</v>
      </c>
      <c r="C49" s="96">
        <v>3.86</v>
      </c>
    </row>
    <row r="51" spans="1:5" x14ac:dyDescent="0.2">
      <c r="A51" t="s">
        <v>102</v>
      </c>
      <c r="C51">
        <v>5.38</v>
      </c>
      <c r="D51">
        <f>ROUNDUP((('A1'!B33*'A1'!C23)/2.6),0)</f>
        <v>0</v>
      </c>
    </row>
    <row r="52" spans="1:5" x14ac:dyDescent="0.2">
      <c r="A52" t="s">
        <v>53</v>
      </c>
      <c r="C52">
        <v>5.2</v>
      </c>
      <c r="D52">
        <f>ROUNDUP((('A1'!B33*'A1'!C23)/2.4),0)</f>
        <v>0</v>
      </c>
    </row>
    <row r="53" spans="1:5" x14ac:dyDescent="0.2">
      <c r="A53" t="s">
        <v>103</v>
      </c>
      <c r="C53">
        <v>11.42</v>
      </c>
      <c r="D53">
        <f>ROUNDUP((('A1'!B33*'A1'!C23)/2.4),0)</f>
        <v>0</v>
      </c>
    </row>
    <row r="54" spans="1:5" x14ac:dyDescent="0.2">
      <c r="A54" t="s">
        <v>54</v>
      </c>
      <c r="C54">
        <v>6.2</v>
      </c>
      <c r="D54">
        <f>ROUNDUP((('A1'!B33*'A1'!C23)/2.4),0)</f>
        <v>0</v>
      </c>
    </row>
    <row r="58" spans="1:5" x14ac:dyDescent="0.2">
      <c r="A58" t="s">
        <v>55</v>
      </c>
      <c r="C58">
        <v>2.82</v>
      </c>
      <c r="D58">
        <f>ROUNDUP((('A1'!B35*'A1'!C22)/12),0)</f>
        <v>0</v>
      </c>
      <c r="E58">
        <v>12</v>
      </c>
    </row>
    <row r="59" spans="1:5" x14ac:dyDescent="0.2">
      <c r="A59" t="s">
        <v>56</v>
      </c>
      <c r="C59">
        <v>5.0199999999999996</v>
      </c>
      <c r="D59">
        <f>ROUNDUP((('A1'!B35*'A1'!C22)/8),0)</f>
        <v>0</v>
      </c>
      <c r="E59">
        <v>8</v>
      </c>
    </row>
    <row r="60" spans="1:5" x14ac:dyDescent="0.2">
      <c r="A60" t="s">
        <v>37</v>
      </c>
      <c r="C60">
        <v>1.84</v>
      </c>
      <c r="D60">
        <f>ROUNDUP((('A1'!B35*'A1'!C22)/18),0)</f>
        <v>0</v>
      </c>
      <c r="E60">
        <v>18</v>
      </c>
    </row>
    <row r="61" spans="1:5" x14ac:dyDescent="0.2">
      <c r="A61" t="s">
        <v>57</v>
      </c>
      <c r="C61">
        <v>2.67</v>
      </c>
      <c r="D61">
        <f>ROUNDUP((('A1'!B35*'A1'!C22)/12),0)</f>
        <v>0</v>
      </c>
      <c r="E61">
        <v>12</v>
      </c>
    </row>
    <row r="62" spans="1:5" x14ac:dyDescent="0.2">
      <c r="A62" t="s">
        <v>58</v>
      </c>
      <c r="C62">
        <v>5.55</v>
      </c>
      <c r="D62">
        <f>ROUNDUP((('A1'!B35*'A1'!C22)/9),0)</f>
        <v>0</v>
      </c>
      <c r="E62">
        <v>9</v>
      </c>
    </row>
    <row r="65" spans="1:5" x14ac:dyDescent="0.2">
      <c r="A65" s="71" t="s">
        <v>59</v>
      </c>
      <c r="C65">
        <v>0</v>
      </c>
      <c r="D65">
        <v>0</v>
      </c>
      <c r="E65">
        <v>0</v>
      </c>
    </row>
    <row r="66" spans="1:5" x14ac:dyDescent="0.2">
      <c r="A66" s="95" t="s">
        <v>64</v>
      </c>
      <c r="C66">
        <f>113.02/500</f>
        <v>0.22603999999999999</v>
      </c>
      <c r="D66">
        <f>ROUNDUP((('A1'!B$36*'A1'!C$26)/500),0)</f>
        <v>0</v>
      </c>
      <c r="E66" t="s">
        <v>11</v>
      </c>
    </row>
    <row r="67" spans="1:5" x14ac:dyDescent="0.2">
      <c r="A67" s="71" t="s">
        <v>60</v>
      </c>
      <c r="C67">
        <f>1.36+(30.11/100)</f>
        <v>1.6611</v>
      </c>
      <c r="D67">
        <f>ROUNDUP((('A1'!B$36*'A1'!C$27)/100),0)</f>
        <v>0</v>
      </c>
      <c r="E67" t="s">
        <v>61</v>
      </c>
    </row>
    <row r="68" spans="1:5" x14ac:dyDescent="0.2">
      <c r="A68" s="71" t="s">
        <v>62</v>
      </c>
      <c r="C68">
        <v>0.64</v>
      </c>
      <c r="D68">
        <f>ROUNDUP((('A1'!B$36*'A1'!C$27)/100),0)</f>
        <v>0</v>
      </c>
      <c r="E68" t="s">
        <v>63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A1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2021-12-22T12:07:07Z</cp:lastPrinted>
  <dcterms:created xsi:type="dcterms:W3CDTF">1998-08-14T12:07:20Z</dcterms:created>
  <dcterms:modified xsi:type="dcterms:W3CDTF">2025-01-21T09:55:00Z</dcterms:modified>
</cp:coreProperties>
</file>